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11595" tabRatio="819"/>
  </bookViews>
  <sheets>
    <sheet name="L1 " sheetId="17" r:id="rId1"/>
    <sheet name="L2 " sheetId="19" r:id="rId2"/>
    <sheet name="L3 " sheetId="20" r:id="rId3"/>
    <sheet name="L4 " sheetId="21" r:id="rId4"/>
    <sheet name="L5 " sheetId="22" r:id="rId5"/>
    <sheet name="L6" sheetId="23" r:id="rId6"/>
    <sheet name="L7 " sheetId="24" r:id="rId7"/>
    <sheet name="L8 " sheetId="25" r:id="rId8"/>
    <sheet name="L9 " sheetId="26" r:id="rId9"/>
    <sheet name="L 10" sheetId="27" r:id="rId10"/>
    <sheet name="L11 " sheetId="28" r:id="rId11"/>
    <sheet name="L12 " sheetId="29" r:id="rId12"/>
    <sheet name="L13 " sheetId="30" r:id="rId13"/>
    <sheet name="L14 " sheetId="31" r:id="rId14"/>
    <sheet name="L15 " sheetId="32" r:id="rId15"/>
    <sheet name="L16 " sheetId="33" r:id="rId16"/>
    <sheet name="L17 " sheetId="34" r:id="rId17"/>
    <sheet name=" Pessoal" sheetId="14" r:id="rId18"/>
    <sheet name="Comb, lub, Man" sheetId="16" r:id="rId19"/>
    <sheet name="Admin, depre" sheetId="15" r:id="rId20"/>
    <sheet name="TOTAL" sheetId="35" r:id="rId21"/>
  </sheets>
  <definedNames>
    <definedName name="_xlnm.Print_Area" localSheetId="17">' Pessoal'!$A$3:$J$49</definedName>
    <definedName name="_xlnm.Print_Area" localSheetId="19">'Admin, depre'!$A$1:$H$57</definedName>
    <definedName name="_xlnm.Print_Area" localSheetId="18">'Comb, lub, Man'!$A$1:$H$49</definedName>
    <definedName name="_xlnm.Print_Area" localSheetId="9">'L 10'!$A$1:$J$47</definedName>
    <definedName name="_xlnm.Print_Area" localSheetId="0">'L1 '!$A$1:$J$47</definedName>
    <definedName name="_xlnm.Print_Area" localSheetId="10">'L11 '!$A$1:$J$48</definedName>
    <definedName name="_xlnm.Print_Area" localSheetId="11">'L12 '!$A$1:$J$46</definedName>
    <definedName name="_xlnm.Print_Area" localSheetId="12">'L13 '!$A$1:$J$48</definedName>
    <definedName name="_xlnm.Print_Area" localSheetId="13">'L14 '!$A$1:$J$50</definedName>
    <definedName name="_xlnm.Print_Area" localSheetId="14">'L15 '!$A$1:$J$48</definedName>
    <definedName name="_xlnm.Print_Area" localSheetId="15">'L16 '!$A$1:$J$50</definedName>
    <definedName name="_xlnm.Print_Area" localSheetId="16">'L17 '!$A$1:$J$49</definedName>
    <definedName name="_xlnm.Print_Area" localSheetId="1">'L2 '!$A$1:$J$46</definedName>
    <definedName name="_xlnm.Print_Area" localSheetId="2">'L3 '!$A$1:$J$46</definedName>
    <definedName name="_xlnm.Print_Area" localSheetId="3">'L4 '!$A$1:$J$48</definedName>
    <definedName name="_xlnm.Print_Area" localSheetId="4">'L5 '!$A$1:$J$49</definedName>
    <definedName name="_xlnm.Print_Area" localSheetId="5">'L6'!$A$1:$J$50</definedName>
    <definedName name="_xlnm.Print_Area" localSheetId="6">'L7 '!$A$1:$J$47</definedName>
    <definedName name="_xlnm.Print_Area" localSheetId="7">'L8 '!$A$1:$J$49</definedName>
    <definedName name="_xlnm.Print_Area" localSheetId="8">'L9 '!$A$1:$J$45</definedName>
  </definedNames>
  <calcPr calcId="125725"/>
</workbook>
</file>

<file path=xl/calcChain.xml><?xml version="1.0" encoding="utf-8"?>
<calcChain xmlns="http://schemas.openxmlformats.org/spreadsheetml/2006/main">
  <c r="J21" i="27"/>
  <c r="E2" i="35"/>
  <c r="D3"/>
  <c r="E3" s="1"/>
  <c r="D4"/>
  <c r="E4" s="1"/>
  <c r="D5"/>
  <c r="E5" s="1"/>
  <c r="D6"/>
  <c r="E6" s="1"/>
  <c r="D7"/>
  <c r="E7" s="1"/>
  <c r="D8"/>
  <c r="E8" s="1"/>
  <c r="D9"/>
  <c r="E9" s="1"/>
  <c r="D10"/>
  <c r="E10" s="1"/>
  <c r="D12"/>
  <c r="E12" s="1"/>
  <c r="D13"/>
  <c r="E13" s="1"/>
  <c r="D14"/>
  <c r="E14" s="1"/>
  <c r="D15"/>
  <c r="E15" s="1"/>
  <c r="D16"/>
  <c r="E16" s="1"/>
  <c r="D17"/>
  <c r="E17" s="1"/>
  <c r="D18"/>
  <c r="E18" s="1"/>
  <c r="D2"/>
  <c r="C18"/>
  <c r="C17"/>
  <c r="C16"/>
  <c r="C15"/>
  <c r="C14"/>
  <c r="C13"/>
  <c r="C12"/>
  <c r="C11"/>
  <c r="C10"/>
  <c r="C9"/>
  <c r="C8"/>
  <c r="C7"/>
  <c r="C6"/>
  <c r="C5"/>
  <c r="C4"/>
  <c r="C3"/>
  <c r="C2"/>
  <c r="B18"/>
  <c r="B17"/>
  <c r="B16"/>
  <c r="B15"/>
  <c r="B14"/>
  <c r="B13"/>
  <c r="B12"/>
  <c r="B10"/>
  <c r="B9"/>
  <c r="B8"/>
  <c r="B7"/>
  <c r="B6"/>
  <c r="B5"/>
  <c r="B4"/>
  <c r="B3"/>
  <c r="B2"/>
  <c r="M6" i="32"/>
  <c r="J30" i="29"/>
  <c r="J29"/>
  <c r="J28"/>
  <c r="J27"/>
  <c r="J26"/>
  <c r="J25"/>
  <c r="E31"/>
  <c r="E32"/>
  <c r="E28"/>
  <c r="E27"/>
  <c r="E25"/>
  <c r="E24"/>
  <c r="E21"/>
  <c r="E18"/>
  <c r="E17"/>
  <c r="E16"/>
  <c r="J30" i="23"/>
  <c r="J29"/>
  <c r="J28"/>
  <c r="J27"/>
  <c r="J26"/>
  <c r="J25"/>
  <c r="J31" s="1"/>
  <c r="J20"/>
  <c r="J19"/>
  <c r="J18"/>
  <c r="J17"/>
  <c r="J16"/>
  <c r="J21" s="1"/>
  <c r="E32"/>
  <c r="E31"/>
  <c r="E28"/>
  <c r="E27"/>
  <c r="E26"/>
  <c r="E24"/>
  <c r="E18"/>
  <c r="E17"/>
  <c r="E16"/>
  <c r="J30" i="22"/>
  <c r="J29"/>
  <c r="J28"/>
  <c r="J27"/>
  <c r="J26"/>
  <c r="J25"/>
  <c r="J31" s="1"/>
  <c r="J22"/>
  <c r="J20"/>
  <c r="J19"/>
  <c r="J18"/>
  <c r="J17"/>
  <c r="J16"/>
  <c r="J21" s="1"/>
  <c r="E32"/>
  <c r="E28"/>
  <c r="E27"/>
  <c r="E26"/>
  <c r="E24"/>
  <c r="E18"/>
  <c r="E17"/>
  <c r="E16"/>
  <c r="E21" i="21"/>
  <c r="J22"/>
  <c r="J37"/>
  <c r="F38" i="19"/>
  <c r="E28"/>
  <c r="E27"/>
  <c r="E24"/>
  <c r="E21" l="1"/>
  <c r="E18"/>
  <c r="E17"/>
  <c r="E16"/>
  <c r="E21" i="17"/>
  <c r="E18"/>
  <c r="E17"/>
  <c r="E16"/>
  <c r="C21" i="16"/>
  <c r="J21"/>
  <c r="K21"/>
  <c r="G7"/>
  <c r="G5"/>
  <c r="J5"/>
  <c r="K5"/>
  <c r="E5"/>
  <c r="C5"/>
  <c r="E14"/>
  <c r="C14"/>
  <c r="N9" i="15"/>
  <c r="M9"/>
  <c r="L9"/>
  <c r="J30" i="34"/>
  <c r="J29"/>
  <c r="J28"/>
  <c r="J27"/>
  <c r="J26"/>
  <c r="J20"/>
  <c r="J19"/>
  <c r="J18"/>
  <c r="J17"/>
  <c r="J16"/>
  <c r="J21" s="1"/>
  <c r="J22" s="1"/>
  <c r="K5"/>
  <c r="E32" s="1"/>
  <c r="J30" i="33"/>
  <c r="J29"/>
  <c r="J28"/>
  <c r="J27"/>
  <c r="J26"/>
  <c r="J20"/>
  <c r="J19"/>
  <c r="J18"/>
  <c r="J17"/>
  <c r="J16"/>
  <c r="J21" s="1"/>
  <c r="J22" s="1"/>
  <c r="K5"/>
  <c r="E32" s="1"/>
  <c r="J30" i="32"/>
  <c r="J29"/>
  <c r="J28"/>
  <c r="J27"/>
  <c r="J26"/>
  <c r="J20"/>
  <c r="J19"/>
  <c r="J18"/>
  <c r="J17"/>
  <c r="E17"/>
  <c r="J16"/>
  <c r="K5"/>
  <c r="E32" s="1"/>
  <c r="J30" i="31"/>
  <c r="J29"/>
  <c r="J28"/>
  <c r="J27"/>
  <c r="J26"/>
  <c r="E26"/>
  <c r="E25"/>
  <c r="J21"/>
  <c r="J22" s="1"/>
  <c r="J20"/>
  <c r="J19"/>
  <c r="J18"/>
  <c r="J17"/>
  <c r="E17"/>
  <c r="J16"/>
  <c r="K5"/>
  <c r="E32" s="1"/>
  <c r="J30" i="30"/>
  <c r="J29"/>
  <c r="J28"/>
  <c r="J27"/>
  <c r="J26"/>
  <c r="J20"/>
  <c r="J19"/>
  <c r="J18"/>
  <c r="J17"/>
  <c r="E17"/>
  <c r="J16"/>
  <c r="K5"/>
  <c r="E32" s="1"/>
  <c r="J20" i="29"/>
  <c r="J19"/>
  <c r="J18"/>
  <c r="J17"/>
  <c r="J16"/>
  <c r="K5"/>
  <c r="J30" i="28"/>
  <c r="J29"/>
  <c r="J28"/>
  <c r="J27"/>
  <c r="J26"/>
  <c r="E26"/>
  <c r="E25"/>
  <c r="J21"/>
  <c r="J22" s="1"/>
  <c r="J20"/>
  <c r="J19"/>
  <c r="J18"/>
  <c r="J17"/>
  <c r="E17"/>
  <c r="J16"/>
  <c r="K5"/>
  <c r="E32" s="1"/>
  <c r="E31" i="27"/>
  <c r="J30"/>
  <c r="J29"/>
  <c r="J28"/>
  <c r="J27"/>
  <c r="J26"/>
  <c r="J20"/>
  <c r="J19"/>
  <c r="J18"/>
  <c r="J17"/>
  <c r="J22" s="1"/>
  <c r="J16"/>
  <c r="K5"/>
  <c r="E32" s="1"/>
  <c r="J30" i="26"/>
  <c r="J29"/>
  <c r="J28"/>
  <c r="J27"/>
  <c r="J26"/>
  <c r="J20"/>
  <c r="J19"/>
  <c r="J18"/>
  <c r="J17"/>
  <c r="J16"/>
  <c r="K5"/>
  <c r="E32" s="1"/>
  <c r="J30" i="25"/>
  <c r="J29"/>
  <c r="J28"/>
  <c r="J27"/>
  <c r="J26"/>
  <c r="J20"/>
  <c r="J19"/>
  <c r="J18"/>
  <c r="J17"/>
  <c r="J16"/>
  <c r="K5"/>
  <c r="E32" s="1"/>
  <c r="J30" i="24"/>
  <c r="J29"/>
  <c r="J28"/>
  <c r="J27"/>
  <c r="J26"/>
  <c r="E26"/>
  <c r="E25"/>
  <c r="J21"/>
  <c r="J20"/>
  <c r="J19"/>
  <c r="J18"/>
  <c r="J17"/>
  <c r="E17"/>
  <c r="J16"/>
  <c r="K5"/>
  <c r="E32" s="1"/>
  <c r="E31" s="1"/>
  <c r="J30" i="21"/>
  <c r="J30" i="20"/>
  <c r="J30" i="19"/>
  <c r="J30" i="17"/>
  <c r="K5" i="23"/>
  <c r="K5" i="22"/>
  <c r="E32" i="21"/>
  <c r="E17"/>
  <c r="K6" i="16"/>
  <c r="J29" i="21"/>
  <c r="J28"/>
  <c r="J27"/>
  <c r="J26"/>
  <c r="J20"/>
  <c r="J19"/>
  <c r="J18"/>
  <c r="J17"/>
  <c r="J16"/>
  <c r="K5"/>
  <c r="K5" i="20"/>
  <c r="J29"/>
  <c r="J28"/>
  <c r="J27"/>
  <c r="J26"/>
  <c r="J20"/>
  <c r="J19"/>
  <c r="J18"/>
  <c r="J17"/>
  <c r="J16"/>
  <c r="J21" s="1"/>
  <c r="J22" s="1"/>
  <c r="E32"/>
  <c r="H68" i="14"/>
  <c r="J6" i="16"/>
  <c r="E7"/>
  <c r="J7" s="1"/>
  <c r="J29" i="19"/>
  <c r="J20"/>
  <c r="J19"/>
  <c r="J18"/>
  <c r="J17"/>
  <c r="J16"/>
  <c r="J21" s="1"/>
  <c r="J22" s="1"/>
  <c r="K5"/>
  <c r="E32" s="1"/>
  <c r="J28"/>
  <c r="J27"/>
  <c r="J26"/>
  <c r="J27" i="17"/>
  <c r="J28"/>
  <c r="J29"/>
  <c r="J26"/>
  <c r="J18"/>
  <c r="J17"/>
  <c r="F32" i="14"/>
  <c r="J16" i="17"/>
  <c r="K5"/>
  <c r="E31" s="1"/>
  <c r="I6" i="16"/>
  <c r="K7"/>
  <c r="E19"/>
  <c r="E21" s="1"/>
  <c r="E21" i="27" s="1"/>
  <c r="E13" i="14"/>
  <c r="F13"/>
  <c r="H64"/>
  <c r="E20" i="15"/>
  <c r="E21" s="1"/>
  <c r="E27" i="33" s="1"/>
  <c r="F23" i="15"/>
  <c r="E26" i="33" s="1"/>
  <c r="D23" i="15"/>
  <c r="E26" i="32" s="1"/>
  <c r="F22" i="15"/>
  <c r="F25" s="1"/>
  <c r="F26" s="1"/>
  <c r="H22"/>
  <c r="H25" s="1"/>
  <c r="G21"/>
  <c r="E27" i="31" s="1"/>
  <c r="E32" i="17" l="1"/>
  <c r="E18" i="34"/>
  <c r="E18" i="27"/>
  <c r="E18" i="26"/>
  <c r="E18" i="25"/>
  <c r="E18" i="33"/>
  <c r="E18" i="20"/>
  <c r="E21"/>
  <c r="E21" i="26"/>
  <c r="E18" i="28"/>
  <c r="E18" i="31"/>
  <c r="E18" i="24"/>
  <c r="E21" i="25"/>
  <c r="E21" i="33"/>
  <c r="E21" i="34"/>
  <c r="J21" i="21"/>
  <c r="J21" i="25"/>
  <c r="J22" s="1"/>
  <c r="J21" i="26"/>
  <c r="J22" s="1"/>
  <c r="J21" i="29"/>
  <c r="J22" s="1"/>
  <c r="J21" i="30"/>
  <c r="J21" i="32"/>
  <c r="E26" i="17"/>
  <c r="E26" i="21"/>
  <c r="E27" i="24"/>
  <c r="E24" i="27"/>
  <c r="E26"/>
  <c r="E27"/>
  <c r="E27" i="28"/>
  <c r="E26" i="30"/>
  <c r="E24" i="31"/>
  <c r="E24" i="34"/>
  <c r="E26"/>
  <c r="E27"/>
  <c r="E24" i="20"/>
  <c r="E26"/>
  <c r="E27"/>
  <c r="E24" i="24"/>
  <c r="E24" i="25"/>
  <c r="E26"/>
  <c r="E27"/>
  <c r="E24" i="26"/>
  <c r="E26"/>
  <c r="E27"/>
  <c r="E24" i="28"/>
  <c r="E24" i="33"/>
  <c r="E31" i="34"/>
  <c r="E31" i="33"/>
  <c r="J22" i="32"/>
  <c r="E31"/>
  <c r="E31" i="31"/>
  <c r="J22" i="30"/>
  <c r="E31"/>
  <c r="E31" i="28"/>
  <c r="E31" i="26"/>
  <c r="E31" i="25"/>
  <c r="J22" i="24"/>
  <c r="J22" i="23"/>
  <c r="E31" i="22"/>
  <c r="E31" i="21"/>
  <c r="E31" i="20"/>
  <c r="E31" i="19"/>
  <c r="C19" i="16"/>
  <c r="I21" s="1"/>
  <c r="G19"/>
  <c r="F27" i="15"/>
  <c r="H26"/>
  <c r="H27" s="1"/>
  <c r="D22"/>
  <c r="C20"/>
  <c r="C21" s="1"/>
  <c r="H7"/>
  <c r="F7"/>
  <c r="D7"/>
  <c r="P81" i="14"/>
  <c r="P79"/>
  <c r="O82"/>
  <c r="P82" s="1"/>
  <c r="F23"/>
  <c r="F22"/>
  <c r="O71" s="1"/>
  <c r="P71" s="1"/>
  <c r="G23"/>
  <c r="O68"/>
  <c r="R68" s="1"/>
  <c r="O80"/>
  <c r="P80" s="1"/>
  <c r="O69"/>
  <c r="P69" s="1"/>
  <c r="P54"/>
  <c r="Q54" s="1"/>
  <c r="S57"/>
  <c r="M57"/>
  <c r="Q52"/>
  <c r="Q57" s="1"/>
  <c r="Q51"/>
  <c r="Q56" s="1"/>
  <c r="N52"/>
  <c r="N57" s="1"/>
  <c r="N51"/>
  <c r="O51" s="1"/>
  <c r="S56"/>
  <c r="M56"/>
  <c r="P44"/>
  <c r="Q44" s="1"/>
  <c r="S30"/>
  <c r="N20"/>
  <c r="N19"/>
  <c r="E38"/>
  <c r="D32"/>
  <c r="F15"/>
  <c r="E14"/>
  <c r="F14" s="1"/>
  <c r="E10"/>
  <c r="I10"/>
  <c r="H10"/>
  <c r="J31" s="1"/>
  <c r="D10"/>
  <c r="I28" s="1"/>
  <c r="G21" i="16" l="1"/>
  <c r="E16" i="31"/>
  <c r="E16" i="24"/>
  <c r="E16" i="28"/>
  <c r="E21" i="30"/>
  <c r="E21" i="28"/>
  <c r="E21" i="32"/>
  <c r="E21" i="31"/>
  <c r="E21" i="24"/>
  <c r="E21" i="23"/>
  <c r="E21" i="22"/>
  <c r="H13" i="15"/>
  <c r="H14" s="1"/>
  <c r="J25" i="28"/>
  <c r="J31" s="1"/>
  <c r="J32" s="1"/>
  <c r="J37" s="1"/>
  <c r="J25" i="24"/>
  <c r="J31" s="1"/>
  <c r="J32" s="1"/>
  <c r="J37" s="1"/>
  <c r="J32" i="23"/>
  <c r="J25" i="31"/>
  <c r="J31" s="1"/>
  <c r="J32" s="1"/>
  <c r="J37" s="1"/>
  <c r="E28"/>
  <c r="E37" s="1"/>
  <c r="E28" i="28"/>
  <c r="E37" s="1"/>
  <c r="E28" i="24"/>
  <c r="E37" i="23"/>
  <c r="F13" i="15"/>
  <c r="F14" s="1"/>
  <c r="J25" i="34"/>
  <c r="J31" s="1"/>
  <c r="J32" s="1"/>
  <c r="J37" s="1"/>
  <c r="J25" i="27"/>
  <c r="J31" s="1"/>
  <c r="J32" s="1"/>
  <c r="J37" s="1"/>
  <c r="J25" i="19"/>
  <c r="J31" s="1"/>
  <c r="J32" s="1"/>
  <c r="J37" s="1"/>
  <c r="J25" i="33"/>
  <c r="J31" s="1"/>
  <c r="J32" s="1"/>
  <c r="J37" s="1"/>
  <c r="J31" i="29"/>
  <c r="J32" s="1"/>
  <c r="J37" s="1"/>
  <c r="J25" i="26"/>
  <c r="J31" s="1"/>
  <c r="J32" s="1"/>
  <c r="J37" s="1"/>
  <c r="J25" i="25"/>
  <c r="J31" s="1"/>
  <c r="J32" s="1"/>
  <c r="J37" s="1"/>
  <c r="J25" i="20"/>
  <c r="J31" s="1"/>
  <c r="J32" s="1"/>
  <c r="J37" s="1"/>
  <c r="E27" i="17"/>
  <c r="E27" i="32"/>
  <c r="E27" i="30"/>
  <c r="E27" i="21"/>
  <c r="E28" i="33"/>
  <c r="E37" s="1"/>
  <c r="E37" i="29"/>
  <c r="E28" i="26"/>
  <c r="E37" s="1"/>
  <c r="F38" s="1"/>
  <c r="E46" s="1"/>
  <c r="E28" i="25"/>
  <c r="E37" s="1"/>
  <c r="E28" i="20"/>
  <c r="E37" s="1"/>
  <c r="E37" i="19"/>
  <c r="E43" s="1"/>
  <c r="E28" i="34"/>
  <c r="E37" s="1"/>
  <c r="E28" i="27"/>
  <c r="E37" s="1"/>
  <c r="D25" i="15"/>
  <c r="D26" s="1"/>
  <c r="D27" s="1"/>
  <c r="E24" i="32"/>
  <c r="E24" i="30"/>
  <c r="E24" i="21"/>
  <c r="E24" i="17"/>
  <c r="J25" i="30"/>
  <c r="J31" s="1"/>
  <c r="J32" s="1"/>
  <c r="J37" s="1"/>
  <c r="J25" i="32"/>
  <c r="J31" s="1"/>
  <c r="J32" s="1"/>
  <c r="J37" s="1"/>
  <c r="J37" i="23"/>
  <c r="J32" i="22"/>
  <c r="J37" s="1"/>
  <c r="J25" i="21"/>
  <c r="J31" s="1"/>
  <c r="J32" s="1"/>
  <c r="D13" i="15"/>
  <c r="D14" s="1"/>
  <c r="J25" i="17"/>
  <c r="J31" s="1"/>
  <c r="J32" s="1"/>
  <c r="I5" i="16"/>
  <c r="C7"/>
  <c r="I7" s="1"/>
  <c r="P25" i="14"/>
  <c r="Q68"/>
  <c r="I61"/>
  <c r="G61"/>
  <c r="H61"/>
  <c r="F61"/>
  <c r="P43"/>
  <c r="Q43" s="1"/>
  <c r="Q67"/>
  <c r="R67" s="1"/>
  <c r="G27"/>
  <c r="G31"/>
  <c r="F28"/>
  <c r="R46"/>
  <c r="S46" s="1"/>
  <c r="Q25"/>
  <c r="Q75" s="1"/>
  <c r="R75" s="1"/>
  <c r="I27"/>
  <c r="J27"/>
  <c r="J28"/>
  <c r="O67"/>
  <c r="P67" s="1"/>
  <c r="O72"/>
  <c r="G28"/>
  <c r="F27"/>
  <c r="F31"/>
  <c r="G22"/>
  <c r="F24"/>
  <c r="P46"/>
  <c r="Q46" s="1"/>
  <c r="O75"/>
  <c r="P75" s="1"/>
  <c r="I31"/>
  <c r="F33"/>
  <c r="P68"/>
  <c r="O52"/>
  <c r="O57" s="1"/>
  <c r="O56"/>
  <c r="N56"/>
  <c r="R41"/>
  <c r="P41"/>
  <c r="P45" s="1"/>
  <c r="P23"/>
  <c r="P24" s="1"/>
  <c r="F19"/>
  <c r="Q23"/>
  <c r="E19"/>
  <c r="E43" i="26" l="1"/>
  <c r="F38" i="23"/>
  <c r="E45" s="1"/>
  <c r="F38" i="31"/>
  <c r="E16" i="34"/>
  <c r="E16" i="33"/>
  <c r="E16" i="30"/>
  <c r="E16" i="32"/>
  <c r="E16" i="27"/>
  <c r="E16" i="26"/>
  <c r="E16" i="25"/>
  <c r="E16" i="21"/>
  <c r="E16" i="20"/>
  <c r="E18" i="30"/>
  <c r="E18" i="32"/>
  <c r="E18" i="21"/>
  <c r="E37" i="24"/>
  <c r="F38" s="1"/>
  <c r="E45" s="1"/>
  <c r="E45" i="26"/>
  <c r="E40" s="1"/>
  <c r="E42" s="1"/>
  <c r="E45" i="31"/>
  <c r="E28" i="17"/>
  <c r="E28" i="32"/>
  <c r="E28" i="30"/>
  <c r="E37" s="1"/>
  <c r="F38" s="1"/>
  <c r="E28" i="21"/>
  <c r="E44" i="31"/>
  <c r="F38" i="27"/>
  <c r="F38" i="25"/>
  <c r="F38" i="29"/>
  <c r="F38" i="34"/>
  <c r="F38" i="28"/>
  <c r="F38" i="20"/>
  <c r="F38" i="33"/>
  <c r="E46" i="19"/>
  <c r="E44" i="23"/>
  <c r="E43"/>
  <c r="E46"/>
  <c r="E45" i="19"/>
  <c r="I33" i="14"/>
  <c r="F64"/>
  <c r="G64" s="1"/>
  <c r="G32"/>
  <c r="P42"/>
  <c r="R42" s="1"/>
  <c r="P26"/>
  <c r="O19" s="1"/>
  <c r="L33" s="1"/>
  <c r="O33" s="1"/>
  <c r="Q33" s="1"/>
  <c r="I39" s="1"/>
  <c r="O76"/>
  <c r="J32"/>
  <c r="S45"/>
  <c r="R76" s="1"/>
  <c r="T46"/>
  <c r="R45" s="1"/>
  <c r="Q76" s="1"/>
  <c r="Q24"/>
  <c r="R43"/>
  <c r="S43" s="1"/>
  <c r="Q71"/>
  <c r="R71" s="1"/>
  <c r="G24"/>
  <c r="I64" s="1"/>
  <c r="Q72"/>
  <c r="R72"/>
  <c r="P72"/>
  <c r="F34"/>
  <c r="F65" s="1"/>
  <c r="I32"/>
  <c r="I34" s="1"/>
  <c r="G65" s="1"/>
  <c r="Q19"/>
  <c r="S19" s="1"/>
  <c r="F37" s="1"/>
  <c r="Q41"/>
  <c r="Q45"/>
  <c r="P76" s="1"/>
  <c r="S41"/>
  <c r="Q26"/>
  <c r="O20" s="1"/>
  <c r="E43" i="31" l="1"/>
  <c r="E46"/>
  <c r="E40" s="1"/>
  <c r="E42" s="1"/>
  <c r="E37" i="17"/>
  <c r="E37" i="22"/>
  <c r="F38" s="1"/>
  <c r="E46" s="1"/>
  <c r="E37" i="32"/>
  <c r="F38" s="1"/>
  <c r="E44" s="1"/>
  <c r="E43" i="24"/>
  <c r="E46"/>
  <c r="E44"/>
  <c r="E37" i="21"/>
  <c r="F38" s="1"/>
  <c r="E46" s="1"/>
  <c r="E46" i="30"/>
  <c r="E43"/>
  <c r="E44"/>
  <c r="E45"/>
  <c r="E43" i="33"/>
  <c r="E46"/>
  <c r="E45"/>
  <c r="E46" i="34"/>
  <c r="E45"/>
  <c r="E43"/>
  <c r="E45" i="25"/>
  <c r="E43"/>
  <c r="E46"/>
  <c r="E43" i="32"/>
  <c r="E45" i="20"/>
  <c r="E43"/>
  <c r="E46"/>
  <c r="E43" i="28"/>
  <c r="E45"/>
  <c r="E46"/>
  <c r="E44"/>
  <c r="E46" i="29"/>
  <c r="E45"/>
  <c r="E43"/>
  <c r="E45" i="27"/>
  <c r="E43"/>
  <c r="E46"/>
  <c r="E40" i="19"/>
  <c r="E42" s="1"/>
  <c r="E40" i="23"/>
  <c r="E42" s="1"/>
  <c r="S42" i="14"/>
  <c r="Q42"/>
  <c r="P47"/>
  <c r="L51" s="1"/>
  <c r="P51" s="1"/>
  <c r="R54" s="1"/>
  <c r="T54" s="1"/>
  <c r="H62"/>
  <c r="I62"/>
  <c r="G62"/>
  <c r="J33"/>
  <c r="J34" s="1"/>
  <c r="I65" s="1"/>
  <c r="G33"/>
  <c r="G34" s="1"/>
  <c r="H65" s="1"/>
  <c r="I37"/>
  <c r="F38"/>
  <c r="I38"/>
  <c r="F39"/>
  <c r="R51"/>
  <c r="R47"/>
  <c r="L52" s="1"/>
  <c r="P52" s="1"/>
  <c r="S47"/>
  <c r="L57" s="1"/>
  <c r="P57" s="1"/>
  <c r="L62" s="1"/>
  <c r="O62" s="1"/>
  <c r="Q62" s="1"/>
  <c r="Q47"/>
  <c r="Q20"/>
  <c r="S20" s="1"/>
  <c r="G37" s="1"/>
  <c r="J37" s="1"/>
  <c r="J38" s="1"/>
  <c r="L34"/>
  <c r="O34" s="1"/>
  <c r="Q34" s="1"/>
  <c r="E45" i="22" l="1"/>
  <c r="E44"/>
  <c r="E40" s="1"/>
  <c r="E42" s="1"/>
  <c r="E43"/>
  <c r="E46" i="32"/>
  <c r="E45"/>
  <c r="E40" i="24"/>
  <c r="E42" s="1"/>
  <c r="E44" i="21"/>
  <c r="E45"/>
  <c r="E43"/>
  <c r="E40" i="25"/>
  <c r="E42" s="1"/>
  <c r="E40" i="34"/>
  <c r="E42" s="1"/>
  <c r="E40" i="32"/>
  <c r="E42" s="1"/>
  <c r="E40" i="27"/>
  <c r="E42" s="1"/>
  <c r="B11" i="35" s="1"/>
  <c r="D11" s="1"/>
  <c r="E40" i="29"/>
  <c r="E42" s="1"/>
  <c r="E40" i="28"/>
  <c r="E42" s="1"/>
  <c r="E40" i="20"/>
  <c r="E42" s="1"/>
  <c r="E40" i="33"/>
  <c r="E42" s="1"/>
  <c r="E40" i="30"/>
  <c r="E42" s="1"/>
  <c r="K7" i="19"/>
  <c r="G39" i="14"/>
  <c r="J39"/>
  <c r="J42"/>
  <c r="G42"/>
  <c r="T51"/>
  <c r="F40" s="1"/>
  <c r="L56"/>
  <c r="P56" s="1"/>
  <c r="L61" s="1"/>
  <c r="O61" s="1"/>
  <c r="Q61" s="1"/>
  <c r="R57"/>
  <c r="T57" s="1"/>
  <c r="J40" s="1"/>
  <c r="R52"/>
  <c r="R55"/>
  <c r="T55" s="1"/>
  <c r="G38"/>
  <c r="E11" i="35" l="1"/>
  <c r="D20" s="1"/>
  <c r="D19"/>
  <c r="E40" i="21"/>
  <c r="E42" s="1"/>
  <c r="F41" i="14"/>
  <c r="I41"/>
  <c r="I42"/>
  <c r="F42"/>
  <c r="T52"/>
  <c r="G40" s="1"/>
  <c r="R56"/>
  <c r="T56" s="1"/>
  <c r="I40" s="1"/>
  <c r="I43" l="1"/>
  <c r="F43"/>
  <c r="P74"/>
  <c r="P77" s="1"/>
  <c r="N80" s="1"/>
  <c r="Q80" s="1"/>
  <c r="I46" s="1"/>
  <c r="G66"/>
  <c r="G68" s="1"/>
  <c r="I48"/>
  <c r="I49" s="1"/>
  <c r="G67" s="1"/>
  <c r="J41"/>
  <c r="J43" s="1"/>
  <c r="G41"/>
  <c r="G43" s="1"/>
  <c r="O74" l="1"/>
  <c r="O77" s="1"/>
  <c r="N79" s="1"/>
  <c r="Q79" s="1"/>
  <c r="F46" s="1"/>
  <c r="F66"/>
  <c r="R74"/>
  <c r="R77" s="1"/>
  <c r="N82" s="1"/>
  <c r="Q82" s="1"/>
  <c r="J46" s="1"/>
  <c r="J48" s="1"/>
  <c r="J49" s="1"/>
  <c r="I67" s="1"/>
  <c r="I66"/>
  <c r="Q74"/>
  <c r="Q77" s="1"/>
  <c r="N81" s="1"/>
  <c r="Q81" s="1"/>
  <c r="G46" s="1"/>
  <c r="G48" s="1"/>
  <c r="G49" s="1"/>
  <c r="H67" s="1"/>
  <c r="H66"/>
  <c r="F48"/>
  <c r="F49" s="1"/>
  <c r="F67" s="1"/>
  <c r="J20" i="17" s="1"/>
  <c r="F68" i="14" l="1"/>
  <c r="J19" i="17"/>
  <c r="J21" s="1"/>
  <c r="J22" s="1"/>
  <c r="J37" s="1"/>
  <c r="F38" s="1"/>
  <c r="E46" l="1"/>
  <c r="E43"/>
  <c r="E44"/>
  <c r="E45"/>
  <c r="E40" l="1"/>
  <c r="E42" s="1"/>
  <c r="K7" s="1"/>
</calcChain>
</file>

<file path=xl/comments1.xml><?xml version="1.0" encoding="utf-8"?>
<comments xmlns="http://schemas.openxmlformats.org/spreadsheetml/2006/main">
  <authors>
    <author>Jonathann Luiz Essi</author>
  </authors>
  <commentList>
    <comment ref="I40" authorId="0">
      <text>
        <r>
          <rPr>
            <b/>
            <sz val="9"/>
            <color indexed="81"/>
            <rFont val="Tahoma"/>
            <family val="2"/>
          </rPr>
          <t>Jonathann Luiz Essi:</t>
        </r>
        <r>
          <rPr>
            <sz val="9"/>
            <color indexed="81"/>
            <rFont val="Tahoma"/>
            <family val="2"/>
          </rPr>
          <t xml:space="preserve">
!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Jonathann Luiz Essi:</t>
        </r>
        <r>
          <rPr>
            <sz val="9"/>
            <color indexed="81"/>
            <rFont val="Tahoma"/>
            <family val="2"/>
          </rPr>
          <t xml:space="preserve">
!</t>
        </r>
      </text>
    </comment>
  </commentList>
</comments>
</file>

<file path=xl/sharedStrings.xml><?xml version="1.0" encoding="utf-8"?>
<sst xmlns="http://schemas.openxmlformats.org/spreadsheetml/2006/main" count="1242" uniqueCount="291">
  <si>
    <t>IPVA</t>
  </si>
  <si>
    <t>DPVAT</t>
  </si>
  <si>
    <t>R$</t>
  </si>
  <si>
    <t>Salário Normativo</t>
  </si>
  <si>
    <t xml:space="preserve"> Composição da Remuneração</t>
  </si>
  <si>
    <t>Valor (R$)</t>
  </si>
  <si>
    <t xml:space="preserve">Adicional  de insalubridade </t>
  </si>
  <si>
    <t>Adicional noturno</t>
  </si>
  <si>
    <t>Hora noturna adicional</t>
  </si>
  <si>
    <t>Adicional de Hora Extra</t>
  </si>
  <si>
    <t>Intervalo Intrajornada</t>
  </si>
  <si>
    <t>Total da remuneração</t>
  </si>
  <si>
    <t>Transporte</t>
  </si>
  <si>
    <t>Auxílio alimentação (Vales, Cesta Básica etc.)</t>
  </si>
  <si>
    <t>Assistência médica e familiar</t>
  </si>
  <si>
    <t>Auxílio creche</t>
  </si>
  <si>
    <t>Seguro de Vida, Invalidez e Funeral</t>
  </si>
  <si>
    <t xml:space="preserve">Outros </t>
  </si>
  <si>
    <t>Total dos Benefícios mensais e diários</t>
  </si>
  <si>
    <t>Uniformes</t>
  </si>
  <si>
    <t>Valor</t>
  </si>
  <si>
    <t>Férias</t>
  </si>
  <si>
    <t>INSS</t>
  </si>
  <si>
    <t>Salário Educação</t>
  </si>
  <si>
    <t>INCRA/SEST/SEBRAE/SENAT</t>
  </si>
  <si>
    <t>FGTS</t>
  </si>
  <si>
    <t>Total</t>
  </si>
  <si>
    <t>Subtotal</t>
  </si>
  <si>
    <t>LC123</t>
  </si>
  <si>
    <t>MEMÓRIAS DE CÁLCULO</t>
  </si>
  <si>
    <t>Referência para aviso-prévio indenizado</t>
  </si>
  <si>
    <t>Remuneração</t>
  </si>
  <si>
    <t xml:space="preserve">13º Salário  </t>
  </si>
  <si>
    <t>Adicional de Férias</t>
  </si>
  <si>
    <t xml:space="preserve"> nº meses - emprego</t>
  </si>
  <si>
    <t>Subtotal Valor AP</t>
  </si>
  <si>
    <t>% trab. (ponderação)</t>
  </si>
  <si>
    <t>Valor AP Indenizado</t>
  </si>
  <si>
    <t>Dias - mínimo</t>
  </si>
  <si>
    <t>Dias - proporção</t>
  </si>
  <si>
    <t>Total - Dias</t>
  </si>
  <si>
    <t>Custo referência c/ a proporção</t>
  </si>
  <si>
    <t>Multa rescisória do aviso prévio indenizado</t>
  </si>
  <si>
    <t>FGTS/ AP indenizado</t>
  </si>
  <si>
    <t>Multa rescisória (%)</t>
  </si>
  <si>
    <t xml:space="preserve">Subtotal </t>
  </si>
  <si>
    <t>Valor Multa</t>
  </si>
  <si>
    <t>Multa rescisória = 50% (40% + 10%) 40% multa do FGTS  e 10% corresponde a contribuição social sobre rescisão sem justa causa</t>
  </si>
  <si>
    <t>Aviso prévio trabalhado</t>
  </si>
  <si>
    <t>Custo de Referência do Aviso Prévio  trabalhado</t>
  </si>
  <si>
    <t>Benefícios mensais e diários</t>
  </si>
  <si>
    <t>13º   Salário</t>
  </si>
  <si>
    <t>GPS</t>
  </si>
  <si>
    <t>Custo Referência (R$)</t>
  </si>
  <si>
    <t>Aviso Prévio trabalhado</t>
  </si>
  <si>
    <t>Cálculo do STF</t>
  </si>
  <si>
    <t>Dias  trabalhados</t>
  </si>
  <si>
    <t>Multa rescisória  do aviso prévio  trabalhado</t>
  </si>
  <si>
    <t>FGTS (8%)</t>
  </si>
  <si>
    <t>Aviso prévio indenizado</t>
  </si>
  <si>
    <t>Incidência do FGTS</t>
  </si>
  <si>
    <t>Multa do FGTS s/AP  indenizado</t>
  </si>
  <si>
    <t>Aviso prévio  trabalhado</t>
  </si>
  <si>
    <t>Multa do FGTS s/AP  trabalhado</t>
  </si>
  <si>
    <t>Ausências Legais (inclui ausência por doença, paternidade e outras)</t>
  </si>
  <si>
    <t xml:space="preserve"> Custo do Profissional Ausente</t>
  </si>
  <si>
    <t xml:space="preserve">Remuneração </t>
  </si>
  <si>
    <t xml:space="preserve">Assistência Médica e familiar </t>
  </si>
  <si>
    <t>Seguro de Vida</t>
  </si>
  <si>
    <t xml:space="preserve">13º Salário </t>
  </si>
  <si>
    <t>Auxílio alimentação</t>
  </si>
  <si>
    <t>Auxilio creche</t>
  </si>
  <si>
    <t>Adicional de férias</t>
  </si>
  <si>
    <t>GPS e FGTS</t>
  </si>
  <si>
    <t>Custo Referência p/Custo Rep. Prof. Ausente</t>
  </si>
  <si>
    <t>Ausências Legais (inclui ausência por Doença. Licença Paternidade, e outras)</t>
  </si>
  <si>
    <t>Cofins</t>
  </si>
  <si>
    <t>PIS</t>
  </si>
  <si>
    <t>ISS</t>
  </si>
  <si>
    <t xml:space="preserve"> (A) Vr.Referência</t>
  </si>
  <si>
    <t xml:space="preserve"> (B) % Vr. Referencia</t>
  </si>
  <si>
    <t xml:space="preserve"> ( C ) % reposição (1 - B)</t>
  </si>
  <si>
    <t>LC 123</t>
  </si>
  <si>
    <t>Licenciamento</t>
  </si>
  <si>
    <t>Vistoria</t>
  </si>
  <si>
    <t>Módulo 1 - Composição da Remuneração</t>
  </si>
  <si>
    <t>Módulo 2 - Benefícios mensais e diários</t>
  </si>
  <si>
    <t>Módulo 3 - Insumos diversos</t>
  </si>
  <si>
    <t>Módulo 4 - Encargos Trabalhistas</t>
  </si>
  <si>
    <t>Módulo 6 - Provisão para rescisão</t>
  </si>
  <si>
    <t>Total do Módulo 6 - Provisão para rescisão</t>
  </si>
  <si>
    <t>Módulo 7 - Reposição do profissional ausente</t>
  </si>
  <si>
    <t>Não incluir férias, porque estas devem ser gozadas no recesso escolar.</t>
  </si>
  <si>
    <t>Micro</t>
  </si>
  <si>
    <t>Vida útil por pneu</t>
  </si>
  <si>
    <t>Vida útil / recapagem</t>
  </si>
  <si>
    <t>Total da vida útil por pneu</t>
  </si>
  <si>
    <t xml:space="preserve">Rodagem </t>
  </si>
  <si>
    <t>Quant. / lt/Fator</t>
  </si>
  <si>
    <t>Seguro de responsabilidade civil</t>
  </si>
  <si>
    <t>Aferição do Tacógrafo</t>
  </si>
  <si>
    <t>TOTAL DOS ENCARGOS COM MOTORISTA</t>
  </si>
  <si>
    <t>Incidência do Módulo 5 s/ Aviso prévio trabalhado</t>
  </si>
  <si>
    <t>Incidência do módulo 5 s/módulo 7</t>
  </si>
  <si>
    <t>Total do módulo 7- Reposição do profissional ausente</t>
  </si>
  <si>
    <t xml:space="preserve">SAT/RAT </t>
  </si>
  <si>
    <t>COMBUSTÍVEL</t>
  </si>
  <si>
    <t>AVISO PRÉVIO INDENIZADO</t>
  </si>
  <si>
    <t>Descrição</t>
  </si>
  <si>
    <t>Módulo 5 - Encargos Previdenciários</t>
  </si>
  <si>
    <t>TRANSPORTE ESCOLAR 2021</t>
  </si>
  <si>
    <t>CUSTO MENSAL MOTORISTA ÔNIBUS</t>
  </si>
  <si>
    <t>CUSTO MENSAL MOTORISTA MICRO-ÔNIBUS/VAN</t>
  </si>
  <si>
    <t xml:space="preserve">8h </t>
  </si>
  <si>
    <t xml:space="preserve">6h </t>
  </si>
  <si>
    <t>Encargos Trabalhistas</t>
  </si>
  <si>
    <t>Valor / mês</t>
  </si>
  <si>
    <t>Ônibus</t>
  </si>
  <si>
    <t>Micro/Van</t>
  </si>
  <si>
    <t>Total:</t>
  </si>
  <si>
    <t>Décimo Terceiro</t>
  </si>
  <si>
    <t>Composição da Remuneração</t>
  </si>
  <si>
    <t xml:space="preserve"> Encargos Previsdenciários</t>
  </si>
  <si>
    <t xml:space="preserve"> Engargos Previdenciários TOTAL:</t>
  </si>
  <si>
    <t xml:space="preserve">Desconto </t>
  </si>
  <si>
    <t>Incidência encargos trabalhistas:</t>
  </si>
  <si>
    <t>Micro/ Van</t>
  </si>
  <si>
    <t>Provisão p/ Rescisão (exceto incidências)</t>
  </si>
  <si>
    <t xml:space="preserve"> Provisão para Rescisão</t>
  </si>
  <si>
    <t>Reposição do profissional Ausente</t>
  </si>
  <si>
    <t>Total / mês</t>
  </si>
  <si>
    <t xml:space="preserve">Ônibus: Volkswagem 15.190 EOD 
 </t>
  </si>
  <si>
    <t>Valor da recapagem do pneu</t>
  </si>
  <si>
    <t>R$/km:</t>
  </si>
  <si>
    <t xml:space="preserve">Valor do pneu </t>
  </si>
  <si>
    <t>Total/Pneu:</t>
  </si>
  <si>
    <t>Km</t>
  </si>
  <si>
    <t>Numero de Rodas</t>
  </si>
  <si>
    <t>Custo Administrativo</t>
  </si>
  <si>
    <t>Micro-Ônibus Volare V6</t>
  </si>
  <si>
    <t>Custo Escritório</t>
  </si>
  <si>
    <t>Custo Admin.:</t>
  </si>
  <si>
    <t>Custo Depreciação</t>
  </si>
  <si>
    <t>Valor Médio do Veículo</t>
  </si>
  <si>
    <t>Valor da depreciação anual %</t>
  </si>
  <si>
    <t>Valor da depreciação anual R$</t>
  </si>
  <si>
    <t>Valor a depreciar no mês</t>
  </si>
  <si>
    <t>Preço médio litro combustivel</t>
  </si>
  <si>
    <t>Oléo Diesel</t>
  </si>
  <si>
    <t>Gasolina</t>
  </si>
  <si>
    <t>Data</t>
  </si>
  <si>
    <t>Custo Lubrificante*</t>
  </si>
  <si>
    <r>
      <t xml:space="preserve">* Para estimativa do custo de </t>
    </r>
    <r>
      <rPr>
        <b/>
        <i/>
        <sz val="8"/>
        <rFont val="Times New Roman"/>
        <family val="1"/>
      </rPr>
      <t xml:space="preserve">oléo lubrificante </t>
    </r>
    <r>
      <rPr>
        <i/>
        <sz val="8"/>
        <rFont val="Times New Roman"/>
        <family val="1"/>
      </rPr>
      <t xml:space="preserve">e adotada a metodologia de Geipot (1996), que relacionao consumo de combustível ao consumo de oléo lubrificante - Fonte: metodologia de custo do transporte escolar rural.  </t>
    </r>
  </si>
  <si>
    <t>Custo Combustível</t>
  </si>
  <si>
    <t>Custo Combustível/ km</t>
  </si>
  <si>
    <t>Cotações</t>
  </si>
  <si>
    <t>Coeficientes Consumo de oléo Lubrificante (l/km)</t>
  </si>
  <si>
    <t>Média litro do combustível (R$/l)</t>
  </si>
  <si>
    <t>Valor Médio R$/l:</t>
  </si>
  <si>
    <t>Custo Oléo Lubrificante (R$/km)</t>
  </si>
  <si>
    <t>ITINERÁRIO:</t>
  </si>
  <si>
    <t>LINHA 1 - FOLES / AMARAL FERRADOR</t>
  </si>
  <si>
    <t>TURNO:</t>
  </si>
  <si>
    <t>MANHÃ</t>
  </si>
  <si>
    <t>NUMERO DE DIAS LETIVO ANO:</t>
  </si>
  <si>
    <t>NUMERO DE MESES COM TRANSPORTE:</t>
  </si>
  <si>
    <t>MÉDIA DIAS LETIVOS/ MÊS:</t>
  </si>
  <si>
    <t>QUANTIDADE DE ALUNOS PARA TRANSPORTE:</t>
  </si>
  <si>
    <t>CUSTO FIXOS</t>
  </si>
  <si>
    <t>VEÍCULO:</t>
  </si>
  <si>
    <t>ÔNIBUS ESCOLAR MÍNIMO 49 LUGARES</t>
  </si>
  <si>
    <t>VALOR MÉDIO DO LITRO DO OLÉO  DIESEL :</t>
  </si>
  <si>
    <t>MÉDIA CONSUMIDA KM / LITRO:</t>
  </si>
  <si>
    <t>CUSTO OLÉO DIESEL POR KM:</t>
  </si>
  <si>
    <t>OLÉO LUBRIFICANTE</t>
  </si>
  <si>
    <t>CUSTO OLÉO LUBRIFICANTE (R$/KM):</t>
  </si>
  <si>
    <t>RODAGEM</t>
  </si>
  <si>
    <t>PREÇO MÉDIO PNEU UTILIZADO:</t>
  </si>
  <si>
    <t>QUANTIDADE DE PNEUS RODANDO:</t>
  </si>
  <si>
    <t>TOTAL DA VIDA ÚTIL POR PNEU (KM):</t>
  </si>
  <si>
    <t>VALOR MÉDIO DA RECAPAGEM DO PNEU:</t>
  </si>
  <si>
    <t>CUSTO MÉDIO DOS PNEUS POR KM:</t>
  </si>
  <si>
    <t>CUSTO MANUTENÇÃO</t>
  </si>
  <si>
    <t>CUSTO DE MANUTENÇÃO POR KM:</t>
  </si>
  <si>
    <t>CUSTO DE MANUTENÇÃO POR MÊS:</t>
  </si>
  <si>
    <t>MOTORISTA</t>
  </si>
  <si>
    <t>CUSTO MOTORISTA MÊS:</t>
  </si>
  <si>
    <t>TOTAL:</t>
  </si>
  <si>
    <t>CUSTO MOTORISTA POR KM:</t>
  </si>
  <si>
    <t>MOTORISTA REMUNERAÇÃO:</t>
  </si>
  <si>
    <t>ENCARGOS TRABALHISTAS:</t>
  </si>
  <si>
    <t>ENCARGOS PREVIDENCIÁRIOS:</t>
  </si>
  <si>
    <t>PROVISÃO PARA RESCISÃO:</t>
  </si>
  <si>
    <t>REPOSIÇÃO PROFISSIONAL AUSENTE:</t>
  </si>
  <si>
    <t>CUSTO ADMINISTRATIVO</t>
  </si>
  <si>
    <t xml:space="preserve">Ônibus: 
 </t>
  </si>
  <si>
    <t xml:space="preserve">Ônibus:
 </t>
  </si>
  <si>
    <t xml:space="preserve">Micro-Ônibus </t>
  </si>
  <si>
    <t>CAMIONETA</t>
  </si>
  <si>
    <t xml:space="preserve">Ônibus
 </t>
  </si>
  <si>
    <t xml:space="preserve">IPVA </t>
  </si>
  <si>
    <t>LICENCIAMENTO</t>
  </si>
  <si>
    <t>CUSTO COM TERCEIROS</t>
  </si>
  <si>
    <t xml:space="preserve">SEGURO </t>
  </si>
  <si>
    <t>CUSTO ADMINISTRATIVO POR MÊS:</t>
  </si>
  <si>
    <t>CUSTO ADMINISTRATIVO POR KM:</t>
  </si>
  <si>
    <t xml:space="preserve">VISTÓRIA </t>
  </si>
  <si>
    <t>AFERIÇÃO TACÓGRAFO</t>
  </si>
  <si>
    <t>TOTAL CUSTOS FIXOS:</t>
  </si>
  <si>
    <t>MARGEM DE LUCRO PERCENTUAL</t>
  </si>
  <si>
    <t>TRIBUTOS (R$)</t>
  </si>
  <si>
    <t>TOTA POR KILOMETRO RODADO (R$)</t>
  </si>
  <si>
    <t>LINHA 2 - ALTO DA MADALENA/POMPÍLIO</t>
  </si>
  <si>
    <t>MANHÃ E TARDE</t>
  </si>
  <si>
    <t>LINHA 3 - FOLES/POMPILIO</t>
  </si>
  <si>
    <t>Onibus</t>
  </si>
  <si>
    <t>Camioneta</t>
  </si>
  <si>
    <t>Média Consumo (km/l)</t>
  </si>
  <si>
    <t>LINHA 5 - RINCÃO DO MORRO AGUDO</t>
  </si>
  <si>
    <t xml:space="preserve">MANHÃ </t>
  </si>
  <si>
    <t>LINHA 6 - COLÔNIA / AMARAL FERRADOR</t>
  </si>
  <si>
    <t>ONIBUS</t>
  </si>
  <si>
    <t>MICRO</t>
  </si>
  <si>
    <t>KOMBI</t>
  </si>
  <si>
    <t xml:space="preserve">MANHÃ E TARDE </t>
  </si>
  <si>
    <t>LINHA 9 - RINCÃO DOS FREITAS ESCOLA JUREMA</t>
  </si>
  <si>
    <t>CUSTO COMBUSTÍVEL POR KM:</t>
  </si>
  <si>
    <t>VALOR MÉDIO DO LITRO DO COMBUSTÍVEL :</t>
  </si>
  <si>
    <t>MANHÃ E  TARDE</t>
  </si>
  <si>
    <t>LINHA 13 - GOIABA / AMARAL</t>
  </si>
  <si>
    <t>CUSTO VARIÁVEIS</t>
  </si>
  <si>
    <t>LINHA 14 - COLÔNIA</t>
  </si>
  <si>
    <t>DISTÂNCIA ESTIMADA PERCORRIDA POR DIA (km):</t>
  </si>
  <si>
    <t>LINHA 15 - CAPOEIRÃO / AMARAL</t>
  </si>
  <si>
    <t>MANHÃ, TARDE E NOITE</t>
  </si>
  <si>
    <t>LINHA 16 - COLÔNIA / BOM SERÁ</t>
  </si>
  <si>
    <t>TOTAL CUSTOS VARIÁVEIS:</t>
  </si>
  <si>
    <t>LINHA 17 - PASSO DAS PEDRAS / ESCOLA JUREMA</t>
  </si>
  <si>
    <t>LINHA 4 DIVISA DF / AMARAL FERRADOR</t>
  </si>
  <si>
    <t>TARDE E NOITE</t>
  </si>
  <si>
    <t>LINHA 7 - AMARAL FERRADOR / COLÔNIA / AMARAL</t>
  </si>
  <si>
    <t>CUSTO RENUMERAÇÃO DO CAPITAL</t>
  </si>
  <si>
    <t>CUSTO RENUMERAÇÃO POR KM:</t>
  </si>
  <si>
    <t>Custo Renumeração do Capital</t>
  </si>
  <si>
    <t>Coeficiente de Renumeração</t>
  </si>
  <si>
    <t>ÔNIBUS ESCOLAR MÍNIMO 54 LUGARES</t>
  </si>
  <si>
    <t>QUANTIDADE  ALUNOS PARA TRANSPORTE:</t>
  </si>
  <si>
    <t>MICRO-ÔNIBUS  MÍNIMO 28 LUGARES</t>
  </si>
  <si>
    <t>LINHA 8 - RINCÃO DOS VARGAS/AMARAL</t>
  </si>
  <si>
    <t>MICRO-ÔNIBUS  MÍNIMO 20 LUGARES</t>
  </si>
  <si>
    <t>LINHA 10 - RINCÃO DOS FREITAS / AMARAL</t>
  </si>
  <si>
    <t>LINHA 11 - GOIABA / COXILHA</t>
  </si>
  <si>
    <t>MICRO-ÔNIBUS  MÍNIMO 22 LUGARES</t>
  </si>
  <si>
    <t>Auto Posto JV</t>
  </si>
  <si>
    <t>Posto Colonia</t>
  </si>
  <si>
    <t>Amaral Ferrador Com de Comb</t>
  </si>
  <si>
    <t>* Não apalicado devido analise de contratos anteriores veículos prestatores de serviço possuirem mais de 10 anos, sendo assim já considerados depreciados</t>
  </si>
  <si>
    <t>VAN MINIMO 12 LUGARES</t>
  </si>
  <si>
    <t>VAN</t>
  </si>
  <si>
    <t>* Não apalicado devido analise de contratos anteriores veículos prestatores de serviço possuirem mais de 10 anos</t>
  </si>
  <si>
    <t>VALOR MÉDIO DO LITRO COMBUSTIVEL :</t>
  </si>
  <si>
    <t xml:space="preserve"> PREÇO MÉDIO PNEU UTILIZADO:</t>
  </si>
  <si>
    <t>TRANSPORTE ESCOLAR 2021/2022</t>
  </si>
  <si>
    <t>CUSTO COMBUSTIVEL POR KM:</t>
  </si>
  <si>
    <t>TOTAL POR KILOMETRO RODADO (R$)</t>
  </si>
  <si>
    <t>VALOR MÉDIO DO LITRO COMBUSTÍVEL :</t>
  </si>
  <si>
    <t>LINHA 12 - GOIABA/ COXILHA</t>
  </si>
  <si>
    <t>VAN MÍNIMO 12 LUGARES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</si>
  <si>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</si>
  <si>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</si>
  <si>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</si>
  <si>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</si>
  <si>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</si>
  <si>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</si>
  <si>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</si>
  <si>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</si>
  <si>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</si>
  <si>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</si>
  <si>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</si>
  <si>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</si>
  <si>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</si>
  <si>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</si>
  <si>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</si>
  <si>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</si>
  <si>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</si>
  <si>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DISTÂNCIA</t>
  </si>
  <si>
    <t>VALOR / ANO</t>
  </si>
  <si>
    <t>VALOR / MÊS</t>
  </si>
  <si>
    <t>VALOR /  KM</t>
  </si>
  <si>
    <t>TOTAL / MÊS:</t>
  </si>
  <si>
    <t>TOTAL / ANO:</t>
  </si>
</sst>
</file>

<file path=xl/styles.xml><?xml version="1.0" encoding="utf-8"?>
<styleSheet xmlns="http://schemas.openxmlformats.org/spreadsheetml/2006/main">
  <numFmts count="11"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_-* #,##0.00_-;\-* #,##0.00_-;_-* &quot;-&quot;??_-;_-@_-"/>
    <numFmt numFmtId="165" formatCode="#,##0.00\ ;&quot; (&quot;#,##0.00\);&quot; -&quot;#\ ;@\ "/>
    <numFmt numFmtId="166" formatCode="_-[$R$-416]\ * #,##0.00_-;\-[$R$-416]\ * #,##0.00_-;_-[$R$-416]\ * &quot;-&quot;??_-;_-@_-"/>
    <numFmt numFmtId="167" formatCode="0.0%"/>
    <numFmt numFmtId="168" formatCode="_-* #,##0_-;\-* #,##0_-;_-* &quot;-&quot;??_-;_-@_-"/>
    <numFmt numFmtId="169" formatCode="_ &quot;R$&quot;\ * #,##0_ ;_ &quot;R$&quot;\ * \-#,##0_ ;_ &quot;R$&quot;\ * &quot;-&quot;??_ ;_ @_ "/>
    <numFmt numFmtId="170" formatCode="_ &quot;R$&quot;\ * #,##0.000_ ;_ &quot;R$&quot;\ * \-#,##0.000_ ;_ &quot;R$&quot;\ * &quot;-&quot;??_ ;_ @_ "/>
    <numFmt numFmtId="171" formatCode="_ &quot;R$&quot;\ * #,##0.000_ ;_ &quot;R$&quot;\ * \-#,##0.000_ ;_ &quot;R$&quot;\ * &quot;-&quot;???_ ;_ @_ "/>
    <numFmt numFmtId="172" formatCode="0.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FF0000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i/>
      <sz val="10"/>
      <color theme="1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6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0"/>
      <name val="Times New Roman"/>
      <family val="1"/>
    </font>
    <font>
      <sz val="8.5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0" fontId="6" fillId="0" borderId="4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7">
    <xf numFmtId="0" fontId="0" fillId="0" borderId="0" xfId="0"/>
    <xf numFmtId="2" fontId="0" fillId="0" borderId="0" xfId="0" applyNumberFormat="1"/>
    <xf numFmtId="0" fontId="4" fillId="0" borderId="0" xfId="0" applyFont="1" applyAlignment="1">
      <alignment horizontal="center"/>
    </xf>
    <xf numFmtId="0" fontId="11" fillId="0" borderId="5" xfId="6" applyFont="1" applyBorder="1" applyAlignment="1">
      <alignment horizontal="center"/>
    </xf>
    <xf numFmtId="0" fontId="11" fillId="0" borderId="6" xfId="6" applyFont="1" applyBorder="1" applyAlignment="1">
      <alignment horizontal="center"/>
    </xf>
    <xf numFmtId="0" fontId="11" fillId="0" borderId="2" xfId="6" applyFont="1" applyBorder="1" applyAlignment="1">
      <alignment horizontal="center"/>
    </xf>
    <xf numFmtId="44" fontId="12" fillId="0" borderId="2" xfId="10" applyFont="1" applyBorder="1" applyAlignment="1">
      <alignment horizontal="center"/>
    </xf>
    <xf numFmtId="44" fontId="12" fillId="0" borderId="2" xfId="10" applyFont="1" applyBorder="1"/>
    <xf numFmtId="44" fontId="11" fillId="0" borderId="2" xfId="10" applyFont="1" applyBorder="1"/>
    <xf numFmtId="44" fontId="11" fillId="7" borderId="2" xfId="10" applyFont="1" applyFill="1" applyBorder="1"/>
    <xf numFmtId="0" fontId="11" fillId="8" borderId="2" xfId="6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44" fontId="11" fillId="0" borderId="2" xfId="10" applyFont="1" applyBorder="1" applyAlignment="1">
      <alignment vertical="top"/>
    </xf>
    <xf numFmtId="0" fontId="0" fillId="0" borderId="0" xfId="0"/>
    <xf numFmtId="0" fontId="0" fillId="0" borderId="0" xfId="0" applyAlignment="1">
      <alignment horizontal="center"/>
    </xf>
    <xf numFmtId="0" fontId="11" fillId="0" borderId="2" xfId="0" applyFont="1" applyBorder="1"/>
    <xf numFmtId="44" fontId="14" fillId="0" borderId="2" xfId="10" applyFont="1" applyBorder="1"/>
    <xf numFmtId="44" fontId="13" fillId="0" borderId="2" xfId="10" applyFont="1" applyBorder="1"/>
    <xf numFmtId="166" fontId="14" fillId="0" borderId="13" xfId="10" applyNumberFormat="1" applyFont="1" applyBorder="1"/>
    <xf numFmtId="166" fontId="14" fillId="0" borderId="7" xfId="10" applyNumberFormat="1" applyFont="1" applyBorder="1"/>
    <xf numFmtId="0" fontId="11" fillId="8" borderId="2" xfId="0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164" fontId="11" fillId="5" borderId="2" xfId="2" applyFont="1" applyFill="1" applyBorder="1" applyAlignment="1" applyProtection="1">
      <alignment horizontal="center" vertical="center" wrapText="1"/>
    </xf>
    <xf numFmtId="44" fontId="12" fillId="0" borderId="2" xfId="10" applyFont="1" applyFill="1" applyBorder="1" applyAlignment="1">
      <alignment horizontal="center" vertical="center"/>
    </xf>
    <xf numFmtId="44" fontId="14" fillId="0" borderId="2" xfId="10" applyFont="1" applyBorder="1" applyAlignment="1">
      <alignment horizontal="center" vertical="center"/>
    </xf>
    <xf numFmtId="44" fontId="12" fillId="0" borderId="2" xfId="10" applyFont="1" applyBorder="1" applyAlignment="1">
      <alignment horizontal="center" vertical="center"/>
    </xf>
    <xf numFmtId="0" fontId="14" fillId="0" borderId="0" xfId="0" applyFont="1"/>
    <xf numFmtId="0" fontId="1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/>
    </xf>
    <xf numFmtId="44" fontId="13" fillId="0" borderId="2" xfId="1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4" fillId="0" borderId="7" xfId="0" applyFont="1" applyBorder="1"/>
    <xf numFmtId="0" fontId="5" fillId="5" borderId="2" xfId="0" applyFont="1" applyFill="1" applyBorder="1" applyAlignment="1">
      <alignment horizontal="center" vertical="center"/>
    </xf>
    <xf numFmtId="0" fontId="12" fillId="0" borderId="10" xfId="0" applyFont="1" applyBorder="1"/>
    <xf numFmtId="0" fontId="12" fillId="0" borderId="24" xfId="0" applyFont="1" applyBorder="1"/>
    <xf numFmtId="164" fontId="11" fillId="5" borderId="25" xfId="2" applyFont="1" applyFill="1" applyBorder="1" applyAlignment="1" applyProtection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44" fontId="12" fillId="9" borderId="2" xfId="0" applyNumberFormat="1" applyFont="1" applyFill="1" applyBorder="1" applyAlignment="1">
      <alignment horizontal="center"/>
    </xf>
    <xf numFmtId="44" fontId="14" fillId="0" borderId="2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44" fontId="14" fillId="0" borderId="2" xfId="10" applyFont="1" applyBorder="1" applyAlignment="1">
      <alignment horizontal="center"/>
    </xf>
    <xf numFmtId="44" fontId="12" fillId="9" borderId="2" xfId="10" applyFont="1" applyFill="1" applyBorder="1" applyAlignment="1">
      <alignment horizontal="center"/>
    </xf>
    <xf numFmtId="44" fontId="12" fillId="9" borderId="2" xfId="10" applyFont="1" applyFill="1" applyBorder="1" applyAlignment="1">
      <alignment horizontal="center" vertical="top"/>
    </xf>
    <xf numFmtId="44" fontId="14" fillId="0" borderId="7" xfId="0" applyNumberFormat="1" applyFont="1" applyBorder="1"/>
    <xf numFmtId="0" fontId="16" fillId="0" borderId="0" xfId="0" applyFont="1" applyAlignment="1"/>
    <xf numFmtId="0" fontId="15" fillId="0" borderId="8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22" xfId="0" applyFont="1" applyBorder="1"/>
    <xf numFmtId="0" fontId="14" fillId="0" borderId="8" xfId="0" applyFont="1" applyBorder="1"/>
    <xf numFmtId="0" fontId="14" fillId="0" borderId="0" xfId="0" applyFont="1" applyBorder="1" applyAlignment="1">
      <alignment horizontal="center"/>
    </xf>
    <xf numFmtId="0" fontId="14" fillId="0" borderId="8" xfId="0" applyFont="1" applyFill="1" applyBorder="1"/>
    <xf numFmtId="0" fontId="14" fillId="0" borderId="0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22" fillId="0" borderId="0" xfId="0" applyFont="1" applyBorder="1" applyAlignment="1">
      <alignment vertical="center"/>
    </xf>
    <xf numFmtId="167" fontId="14" fillId="0" borderId="6" xfId="9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 vertical="center"/>
    </xf>
    <xf numFmtId="0" fontId="11" fillId="9" borderId="5" xfId="0" applyFont="1" applyFill="1" applyBorder="1" applyAlignment="1">
      <alignment horizontal="center"/>
    </xf>
    <xf numFmtId="2" fontId="11" fillId="9" borderId="19" xfId="0" applyNumberFormat="1" applyFont="1" applyFill="1" applyBorder="1" applyAlignment="1">
      <alignment vertical="center"/>
    </xf>
    <xf numFmtId="2" fontId="11" fillId="9" borderId="14" xfId="0" applyNumberFormat="1" applyFont="1" applyFill="1" applyBorder="1" applyAlignment="1">
      <alignment vertical="center"/>
    </xf>
    <xf numFmtId="2" fontId="21" fillId="9" borderId="19" xfId="0" applyNumberFormat="1" applyFont="1" applyFill="1" applyBorder="1" applyAlignment="1">
      <alignment vertical="center"/>
    </xf>
    <xf numFmtId="2" fontId="21" fillId="9" borderId="14" xfId="0" applyNumberFormat="1" applyFont="1" applyFill="1" applyBorder="1" applyAlignment="1">
      <alignment vertical="center"/>
    </xf>
    <xf numFmtId="9" fontId="12" fillId="0" borderId="2" xfId="1" applyNumberFormat="1" applyFont="1" applyFill="1" applyBorder="1"/>
    <xf numFmtId="0" fontId="15" fillId="0" borderId="21" xfId="0" applyFont="1" applyBorder="1"/>
    <xf numFmtId="44" fontId="25" fillId="0" borderId="0" xfId="0" applyNumberFormat="1" applyFont="1" applyAlignment="1">
      <alignment horizontal="center"/>
    </xf>
    <xf numFmtId="0" fontId="26" fillId="0" borderId="9" xfId="0" applyFont="1" applyBorder="1" applyAlignment="1">
      <alignment horizontal="right"/>
    </xf>
    <xf numFmtId="2" fontId="26" fillId="0" borderId="24" xfId="0" applyNumberFormat="1" applyFont="1" applyBorder="1" applyAlignment="1">
      <alignment horizontal="right"/>
    </xf>
    <xf numFmtId="0" fontId="12" fillId="0" borderId="11" xfId="0" applyFont="1" applyBorder="1"/>
    <xf numFmtId="9" fontId="12" fillId="0" borderId="2" xfId="0" applyNumberFormat="1" applyFont="1" applyBorder="1"/>
    <xf numFmtId="2" fontId="12" fillId="0" borderId="2" xfId="0" applyNumberFormat="1" applyFont="1" applyBorder="1"/>
    <xf numFmtId="9" fontId="27" fillId="0" borderId="2" xfId="0" applyNumberFormat="1" applyFont="1" applyBorder="1"/>
    <xf numFmtId="2" fontId="15" fillId="0" borderId="2" xfId="0" applyNumberFormat="1" applyFont="1" applyBorder="1"/>
    <xf numFmtId="44" fontId="29" fillId="0" borderId="22" xfId="0" applyNumberFormat="1" applyFont="1" applyBorder="1"/>
    <xf numFmtId="0" fontId="15" fillId="0" borderId="13" xfId="0" applyFont="1" applyBorder="1"/>
    <xf numFmtId="0" fontId="15" fillId="0" borderId="14" xfId="0" applyFont="1" applyBorder="1"/>
    <xf numFmtId="164" fontId="12" fillId="0" borderId="2" xfId="2" applyFont="1" applyFill="1" applyBorder="1" applyAlignment="1" applyProtection="1">
      <alignment horizontal="center"/>
    </xf>
    <xf numFmtId="168" fontId="12" fillId="0" borderId="2" xfId="2" applyNumberFormat="1" applyFont="1" applyFill="1" applyBorder="1" applyAlignment="1" applyProtection="1">
      <alignment horizontal="center" vertical="center"/>
    </xf>
    <xf numFmtId="165" fontId="27" fillId="4" borderId="2" xfId="5" applyNumberFormat="1" applyFont="1" applyBorder="1" applyAlignment="1" applyProtection="1">
      <alignment horizontal="center" vertical="center"/>
    </xf>
    <xf numFmtId="1" fontId="27" fillId="4" borderId="2" xfId="5" applyNumberFormat="1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9" fontId="27" fillId="4" borderId="2" xfId="5" applyNumberFormat="1" applyFont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168" fontId="12" fillId="0" borderId="2" xfId="1" applyNumberFormat="1" applyFont="1" applyFill="1" applyBorder="1" applyAlignment="1"/>
    <xf numFmtId="165" fontId="12" fillId="0" borderId="2" xfId="1" applyNumberFormat="1" applyFont="1" applyFill="1" applyBorder="1" applyAlignment="1"/>
    <xf numFmtId="168" fontId="12" fillId="0" borderId="2" xfId="1" applyNumberFormat="1" applyFont="1" applyFill="1" applyBorder="1"/>
    <xf numFmtId="164" fontId="12" fillId="0" borderId="2" xfId="1" applyNumberFormat="1" applyFont="1" applyFill="1" applyBorder="1"/>
    <xf numFmtId="2" fontId="12" fillId="0" borderId="2" xfId="1" applyNumberFormat="1" applyFont="1" applyFill="1" applyBorder="1"/>
    <xf numFmtId="0" fontId="5" fillId="5" borderId="2" xfId="0" applyFont="1" applyFill="1" applyBorder="1" applyAlignment="1">
      <alignment horizontal="center" vertical="center" wrapText="1"/>
    </xf>
    <xf numFmtId="164" fontId="5" fillId="5" borderId="2" xfId="2" applyFont="1" applyFill="1" applyBorder="1" applyAlignment="1" applyProtection="1">
      <alignment horizontal="center" vertical="center" wrapText="1"/>
    </xf>
    <xf numFmtId="10" fontId="12" fillId="0" borderId="2" xfId="2" applyNumberFormat="1" applyFont="1" applyFill="1" applyBorder="1" applyAlignment="1" applyProtection="1"/>
    <xf numFmtId="2" fontId="12" fillId="0" borderId="2" xfId="2" applyNumberFormat="1" applyFont="1" applyFill="1" applyBorder="1" applyAlignment="1" applyProtection="1"/>
    <xf numFmtId="10" fontId="30" fillId="4" borderId="2" xfId="5" applyNumberFormat="1" applyFont="1" applyBorder="1" applyAlignment="1" applyProtection="1"/>
    <xf numFmtId="0" fontId="15" fillId="10" borderId="20" xfId="0" applyFont="1" applyFill="1" applyBorder="1" applyAlignment="1">
      <alignment horizontal="center"/>
    </xf>
    <xf numFmtId="0" fontId="15" fillId="10" borderId="12" xfId="0" applyFont="1" applyFill="1" applyBorder="1" applyAlignment="1">
      <alignment horizontal="center"/>
    </xf>
    <xf numFmtId="0" fontId="15" fillId="10" borderId="21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0" fontId="5" fillId="0" borderId="8" xfId="0" applyFont="1" applyBorder="1" applyAlignment="1"/>
    <xf numFmtId="0" fontId="4" fillId="0" borderId="0" xfId="0" applyFont="1"/>
    <xf numFmtId="0" fontId="2" fillId="9" borderId="2" xfId="4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/>
    <xf numFmtId="0" fontId="5" fillId="5" borderId="14" xfId="0" applyFont="1" applyFill="1" applyBorder="1" applyAlignment="1"/>
    <xf numFmtId="44" fontId="14" fillId="9" borderId="2" xfId="10" applyFont="1" applyFill="1" applyBorder="1" applyAlignment="1">
      <alignment horizontal="center"/>
    </xf>
    <xf numFmtId="44" fontId="14" fillId="9" borderId="2" xfId="10" applyFont="1" applyFill="1" applyBorder="1"/>
    <xf numFmtId="44" fontId="14" fillId="0" borderId="2" xfId="10" quotePrefix="1" applyFont="1" applyBorder="1" applyAlignment="1">
      <alignment horizontal="center"/>
    </xf>
    <xf numFmtId="44" fontId="12" fillId="0" borderId="2" xfId="10" applyFont="1" applyFill="1" applyBorder="1" applyAlignment="1" applyProtection="1">
      <alignment horizontal="center"/>
    </xf>
    <xf numFmtId="44" fontId="11" fillId="0" borderId="2" xfId="10" applyFont="1" applyFill="1" applyBorder="1"/>
    <xf numFmtId="44" fontId="11" fillId="0" borderId="14" xfId="10" applyFont="1" applyBorder="1" applyAlignment="1">
      <alignment horizontal="center"/>
    </xf>
    <xf numFmtId="44" fontId="12" fillId="0" borderId="2" xfId="10" applyFont="1" applyFill="1" applyBorder="1"/>
    <xf numFmtId="44" fontId="31" fillId="0" borderId="2" xfId="10" applyFont="1" applyFill="1" applyBorder="1" applyAlignment="1"/>
    <xf numFmtId="44" fontId="17" fillId="0" borderId="2" xfId="10" applyFont="1" applyBorder="1"/>
    <xf numFmtId="10" fontId="13" fillId="10" borderId="5" xfId="0" applyNumberFormat="1" applyFont="1" applyFill="1" applyBorder="1"/>
    <xf numFmtId="0" fontId="13" fillId="10" borderId="7" xfId="0" applyFont="1" applyFill="1" applyBorder="1"/>
    <xf numFmtId="0" fontId="11" fillId="10" borderId="5" xfId="0" applyFont="1" applyFill="1" applyBorder="1" applyAlignment="1"/>
    <xf numFmtId="0" fontId="11" fillId="10" borderId="6" xfId="0" applyFont="1" applyFill="1" applyBorder="1" applyAlignment="1"/>
    <xf numFmtId="0" fontId="11" fillId="10" borderId="7" xfId="0" applyFont="1" applyFill="1" applyBorder="1" applyAlignment="1"/>
    <xf numFmtId="0" fontId="11" fillId="9" borderId="2" xfId="6" applyFont="1" applyFill="1" applyBorder="1" applyAlignment="1">
      <alignment horizontal="center"/>
    </xf>
    <xf numFmtId="44" fontId="14" fillId="0" borderId="2" xfId="10" applyNumberFormat="1" applyFont="1" applyBorder="1" applyAlignment="1">
      <alignment horizontal="center"/>
    </xf>
    <xf numFmtId="44" fontId="14" fillId="0" borderId="2" xfId="0" applyNumberFormat="1" applyFont="1" applyBorder="1"/>
    <xf numFmtId="0" fontId="14" fillId="0" borderId="2" xfId="0" applyFont="1" applyBorder="1"/>
    <xf numFmtId="9" fontId="14" fillId="10" borderId="7" xfId="0" applyNumberFormat="1" applyFont="1" applyFill="1" applyBorder="1" applyAlignment="1">
      <alignment horizontal="center"/>
    </xf>
    <xf numFmtId="44" fontId="0" fillId="0" borderId="0" xfId="0" applyNumberFormat="1"/>
    <xf numFmtId="0" fontId="5" fillId="5" borderId="19" xfId="0" applyFont="1" applyFill="1" applyBorder="1" applyAlignment="1">
      <alignment horizontal="center" wrapText="1"/>
    </xf>
    <xf numFmtId="164" fontId="5" fillId="5" borderId="25" xfId="2" applyFont="1" applyFill="1" applyBorder="1" applyAlignment="1" applyProtection="1">
      <alignment horizontal="center" wrapText="1"/>
    </xf>
    <xf numFmtId="0" fontId="5" fillId="5" borderId="7" xfId="0" applyFont="1" applyFill="1" applyBorder="1" applyAlignment="1">
      <alignment horizontal="center" wrapText="1"/>
    </xf>
    <xf numFmtId="164" fontId="5" fillId="5" borderId="25" xfId="2" applyFont="1" applyFill="1" applyBorder="1" applyAlignment="1" applyProtection="1">
      <alignment horizontal="center" vertical="center"/>
    </xf>
    <xf numFmtId="0" fontId="14" fillId="9" borderId="2" xfId="4" applyFont="1" applyFill="1" applyBorder="1" applyAlignment="1">
      <alignment horizontal="right"/>
    </xf>
    <xf numFmtId="0" fontId="22" fillId="0" borderId="0" xfId="0" applyFont="1"/>
    <xf numFmtId="44" fontId="23" fillId="0" borderId="2" xfId="10" applyFont="1" applyFill="1" applyBorder="1" applyAlignment="1" applyProtection="1"/>
    <xf numFmtId="44" fontId="17" fillId="9" borderId="2" xfId="10" applyFont="1" applyFill="1" applyBorder="1" applyAlignment="1">
      <alignment horizontal="right"/>
    </xf>
    <xf numFmtId="44" fontId="14" fillId="0" borderId="2" xfId="10" applyFont="1" applyBorder="1" applyAlignment="1"/>
    <xf numFmtId="44" fontId="13" fillId="0" borderId="2" xfId="10" applyFont="1" applyBorder="1" applyAlignment="1"/>
    <xf numFmtId="0" fontId="11" fillId="6" borderId="2" xfId="6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4" fontId="12" fillId="0" borderId="2" xfId="10" applyFont="1" applyBorder="1" applyAlignment="1">
      <alignment horizontal="right"/>
    </xf>
    <xf numFmtId="44" fontId="12" fillId="0" borderId="2" xfId="10" applyFont="1" applyBorder="1" applyAlignment="1"/>
    <xf numFmtId="44" fontId="12" fillId="0" borderId="2" xfId="10" applyFont="1" applyBorder="1" applyAlignment="1">
      <alignment horizontal="right" wrapText="1"/>
    </xf>
    <xf numFmtId="0" fontId="11" fillId="6" borderId="2" xfId="6" applyFont="1" applyFill="1" applyBorder="1" applyAlignment="1">
      <alignment horizontal="center" vertical="center"/>
    </xf>
    <xf numFmtId="0" fontId="13" fillId="8" borderId="14" xfId="0" applyFont="1" applyFill="1" applyBorder="1" applyAlignment="1"/>
    <xf numFmtId="0" fontId="11" fillId="8" borderId="14" xfId="6" applyFont="1" applyFill="1" applyBorder="1" applyAlignment="1"/>
    <xf numFmtId="0" fontId="13" fillId="9" borderId="2" xfId="0" applyFont="1" applyFill="1" applyBorder="1" applyAlignment="1">
      <alignment horizontal="center"/>
    </xf>
    <xf numFmtId="44" fontId="13" fillId="0" borderId="2" xfId="0" applyNumberFormat="1" applyFont="1" applyBorder="1"/>
    <xf numFmtId="44" fontId="14" fillId="11" borderId="2" xfId="10" applyFont="1" applyFill="1" applyBorder="1"/>
    <xf numFmtId="44" fontId="14" fillId="11" borderId="2" xfId="0" applyNumberFormat="1" applyFont="1" applyFill="1" applyBorder="1"/>
    <xf numFmtId="0" fontId="11" fillId="8" borderId="5" xfId="0" applyFont="1" applyFill="1" applyBorder="1" applyAlignment="1"/>
    <xf numFmtId="0" fontId="11" fillId="8" borderId="6" xfId="0" applyFont="1" applyFill="1" applyBorder="1" applyAlignment="1"/>
    <xf numFmtId="0" fontId="11" fillId="8" borderId="7" xfId="0" applyFont="1" applyFill="1" applyBorder="1" applyAlignment="1"/>
    <xf numFmtId="0" fontId="16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17" fillId="0" borderId="2" xfId="10" applyFont="1" applyBorder="1" applyAlignment="1">
      <alignment horizontal="center" vertical="center"/>
    </xf>
    <xf numFmtId="44" fontId="34" fillId="0" borderId="2" xfId="10" applyFont="1" applyBorder="1" applyAlignment="1">
      <alignment wrapText="1"/>
    </xf>
    <xf numFmtId="44" fontId="25" fillId="9" borderId="2" xfId="10" applyFont="1" applyFill="1" applyBorder="1" applyAlignment="1">
      <alignment horizontal="right"/>
    </xf>
    <xf numFmtId="44" fontId="17" fillId="0" borderId="2" xfId="10" applyFont="1" applyBorder="1" applyAlignment="1">
      <alignment horizontal="center"/>
    </xf>
    <xf numFmtId="44" fontId="17" fillId="9" borderId="2" xfId="10" applyFont="1" applyFill="1" applyBorder="1"/>
    <xf numFmtId="44" fontId="17" fillId="9" borderId="2" xfId="10" applyFont="1" applyFill="1" applyBorder="1" applyAlignment="1">
      <alignment horizontal="center"/>
    </xf>
    <xf numFmtId="0" fontId="16" fillId="0" borderId="3" xfId="0" applyFont="1" applyBorder="1" applyAlignment="1"/>
    <xf numFmtId="0" fontId="15" fillId="0" borderId="3" xfId="0" applyFont="1" applyBorder="1" applyAlignment="1"/>
    <xf numFmtId="9" fontId="12" fillId="0" borderId="2" xfId="0" applyNumberFormat="1" applyFont="1" applyBorder="1" applyAlignment="1">
      <alignment horizontal="center"/>
    </xf>
    <xf numFmtId="9" fontId="14" fillId="0" borderId="2" xfId="0" applyNumberFormat="1" applyFont="1" applyBorder="1" applyAlignment="1">
      <alignment horizontal="center"/>
    </xf>
    <xf numFmtId="0" fontId="14" fillId="10" borderId="0" xfId="0" applyFont="1" applyFill="1"/>
    <xf numFmtId="0" fontId="12" fillId="10" borderId="0" xfId="0" applyFont="1" applyFill="1"/>
    <xf numFmtId="0" fontId="13" fillId="10" borderId="0" xfId="0" applyFont="1" applyFill="1" applyAlignment="1">
      <alignment horizontal="left"/>
    </xf>
    <xf numFmtId="0" fontId="0" fillId="0" borderId="0" xfId="0"/>
    <xf numFmtId="44" fontId="14" fillId="0" borderId="0" xfId="0" applyNumberFormat="1" applyFont="1"/>
    <xf numFmtId="3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/>
    <xf numFmtId="44" fontId="12" fillId="0" borderId="2" xfId="10" applyFont="1" applyFill="1" applyBorder="1" applyAlignment="1">
      <alignment horizontal="center"/>
    </xf>
    <xf numFmtId="44" fontId="12" fillId="0" borderId="2" xfId="10" applyFont="1" applyFill="1" applyBorder="1" applyAlignment="1"/>
    <xf numFmtId="0" fontId="13" fillId="6" borderId="2" xfId="0" applyFont="1" applyFill="1" applyBorder="1" applyAlignment="1">
      <alignment horizontal="right"/>
    </xf>
    <xf numFmtId="44" fontId="13" fillId="6" borderId="2" xfId="0" applyNumberFormat="1" applyFont="1" applyFill="1" applyBorder="1" applyAlignment="1">
      <alignment horizontal="right"/>
    </xf>
    <xf numFmtId="44" fontId="17" fillId="0" borderId="2" xfId="0" applyNumberFormat="1" applyFont="1" applyBorder="1"/>
    <xf numFmtId="0" fontId="14" fillId="0" borderId="0" xfId="0" applyFont="1" applyBorder="1" applyAlignment="1">
      <alignment horizontal="right"/>
    </xf>
    <xf numFmtId="44" fontId="14" fillId="10" borderId="0" xfId="0" applyNumberFormat="1" applyFont="1" applyFill="1"/>
    <xf numFmtId="0" fontId="17" fillId="6" borderId="2" xfId="0" applyFont="1" applyFill="1" applyBorder="1" applyAlignment="1">
      <alignment horizontal="right"/>
    </xf>
    <xf numFmtId="44" fontId="12" fillId="10" borderId="2" xfId="10" applyFont="1" applyFill="1" applyBorder="1" applyAlignment="1">
      <alignment horizontal="right" wrapText="1"/>
    </xf>
    <xf numFmtId="44" fontId="13" fillId="0" borderId="14" xfId="0" applyNumberFormat="1" applyFont="1" applyBorder="1"/>
    <xf numFmtId="0" fontId="14" fillId="10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44" fontId="13" fillId="0" borderId="0" xfId="10" applyFont="1" applyBorder="1"/>
    <xf numFmtId="44" fontId="13" fillId="0" borderId="0" xfId="10" applyFont="1" applyBorder="1" applyAlignment="1"/>
    <xf numFmtId="0" fontId="14" fillId="0" borderId="0" xfId="0" applyFont="1" applyBorder="1" applyAlignment="1"/>
    <xf numFmtId="44" fontId="13" fillId="0" borderId="0" xfId="0" applyNumberFormat="1" applyFont="1" applyBorder="1" applyAlignment="1"/>
    <xf numFmtId="44" fontId="14" fillId="0" borderId="2" xfId="10" applyFont="1" applyBorder="1" applyAlignment="1">
      <alignment horizontal="left" vertical="center"/>
    </xf>
    <xf numFmtId="44" fontId="14" fillId="0" borderId="0" xfId="10" applyFont="1"/>
    <xf numFmtId="9" fontId="14" fillId="0" borderId="0" xfId="9" applyFont="1"/>
    <xf numFmtId="0" fontId="21" fillId="6" borderId="2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left"/>
    </xf>
    <xf numFmtId="0" fontId="11" fillId="10" borderId="0" xfId="0" applyFont="1" applyFill="1" applyBorder="1" applyAlignment="1">
      <alignment horizontal="right"/>
    </xf>
    <xf numFmtId="170" fontId="12" fillId="10" borderId="0" xfId="10" applyNumberFormat="1" applyFont="1" applyFill="1" applyBorder="1" applyAlignment="1">
      <alignment horizontal="center"/>
    </xf>
    <xf numFmtId="0" fontId="16" fillId="0" borderId="0" xfId="0" applyFont="1"/>
    <xf numFmtId="0" fontId="15" fillId="10" borderId="0" xfId="0" applyFont="1" applyFill="1"/>
    <xf numFmtId="0" fontId="15" fillId="0" borderId="8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44" fontId="15" fillId="0" borderId="0" xfId="10" applyFont="1" applyBorder="1"/>
    <xf numFmtId="0" fontId="14" fillId="0" borderId="8" xfId="0" applyFont="1" applyBorder="1" applyAlignment="1">
      <alignment horizontal="center"/>
    </xf>
    <xf numFmtId="0" fontId="14" fillId="0" borderId="22" xfId="0" applyFont="1" applyBorder="1"/>
    <xf numFmtId="164" fontId="0" fillId="0" borderId="0" xfId="0" applyNumberFormat="1"/>
    <xf numFmtId="170" fontId="0" fillId="0" borderId="0" xfId="0" applyNumberFormat="1"/>
    <xf numFmtId="3" fontId="14" fillId="0" borderId="0" xfId="0" applyNumberFormat="1" applyFont="1"/>
    <xf numFmtId="2" fontId="14" fillId="0" borderId="0" xfId="0" applyNumberFormat="1" applyFont="1" applyBorder="1"/>
    <xf numFmtId="2" fontId="14" fillId="0" borderId="22" xfId="0" applyNumberFormat="1" applyFont="1" applyBorder="1" applyAlignment="1">
      <alignment horizontal="right"/>
    </xf>
    <xf numFmtId="2" fontId="14" fillId="0" borderId="0" xfId="0" applyNumberFormat="1" applyFont="1" applyBorder="1" applyAlignment="1">
      <alignment horizontal="right"/>
    </xf>
    <xf numFmtId="0" fontId="14" fillId="0" borderId="22" xfId="0" applyFont="1" applyBorder="1" applyAlignment="1">
      <alignment horizontal="right"/>
    </xf>
    <xf numFmtId="0" fontId="13" fillId="0" borderId="8" xfId="0" applyFont="1" applyBorder="1"/>
    <xf numFmtId="2" fontId="41" fillId="0" borderId="0" xfId="0" applyNumberFormat="1" applyFont="1" applyBorder="1" applyAlignment="1">
      <alignment horizontal="right"/>
    </xf>
    <xf numFmtId="0" fontId="13" fillId="0" borderId="8" xfId="0" applyFont="1" applyBorder="1" applyAlignment="1"/>
    <xf numFmtId="0" fontId="13" fillId="0" borderId="0" xfId="0" applyFont="1" applyBorder="1" applyAlignment="1"/>
    <xf numFmtId="0" fontId="39" fillId="0" borderId="8" xfId="0" applyFont="1" applyBorder="1"/>
    <xf numFmtId="2" fontId="14" fillId="0" borderId="22" xfId="0" applyNumberFormat="1" applyFont="1" applyBorder="1"/>
    <xf numFmtId="44" fontId="39" fillId="0" borderId="0" xfId="0" applyNumberFormat="1" applyFont="1"/>
    <xf numFmtId="0" fontId="15" fillId="0" borderId="0" xfId="0" applyFont="1" applyAlignment="1">
      <alignment horizontal="right"/>
    </xf>
    <xf numFmtId="169" fontId="15" fillId="0" borderId="0" xfId="0" applyNumberFormat="1" applyFont="1"/>
    <xf numFmtId="2" fontId="41" fillId="0" borderId="22" xfId="0" applyNumberFormat="1" applyFont="1" applyBorder="1"/>
    <xf numFmtId="3" fontId="14" fillId="0" borderId="0" xfId="0" applyNumberFormat="1" applyFont="1" applyBorder="1" applyAlignment="1">
      <alignment horizontal="right"/>
    </xf>
    <xf numFmtId="0" fontId="14" fillId="0" borderId="3" xfId="0" applyFont="1" applyBorder="1"/>
    <xf numFmtId="2" fontId="16" fillId="0" borderId="0" xfId="0" applyNumberFormat="1" applyFont="1"/>
    <xf numFmtId="9" fontId="15" fillId="0" borderId="0" xfId="0" applyNumberFormat="1" applyFont="1"/>
    <xf numFmtId="0" fontId="0" fillId="0" borderId="0" xfId="0"/>
    <xf numFmtId="0" fontId="7" fillId="0" borderId="0" xfId="0" applyFont="1"/>
    <xf numFmtId="0" fontId="14" fillId="0" borderId="0" xfId="0" applyFont="1" applyBorder="1" applyAlignment="1">
      <alignment horizontal="right"/>
    </xf>
    <xf numFmtId="0" fontId="39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right"/>
    </xf>
    <xf numFmtId="0" fontId="39" fillId="0" borderId="8" xfId="0" applyFont="1" applyBorder="1" applyAlignment="1">
      <alignment horizontal="left"/>
    </xf>
    <xf numFmtId="0" fontId="16" fillId="0" borderId="0" xfId="0" applyFont="1" applyAlignment="1">
      <alignment horizontal="right"/>
    </xf>
    <xf numFmtId="2" fontId="16" fillId="0" borderId="13" xfId="0" applyNumberFormat="1" applyFont="1" applyBorder="1"/>
    <xf numFmtId="2" fontId="13" fillId="0" borderId="13" xfId="0" applyNumberFormat="1" applyFont="1" applyBorder="1"/>
    <xf numFmtId="164" fontId="15" fillId="0" borderId="0" xfId="2" applyFont="1"/>
    <xf numFmtId="2" fontId="42" fillId="0" borderId="0" xfId="0" applyNumberFormat="1" applyFont="1"/>
    <xf numFmtId="0" fontId="30" fillId="0" borderId="0" xfId="0" applyFont="1"/>
    <xf numFmtId="2" fontId="16" fillId="0" borderId="23" xfId="0" applyNumberFormat="1" applyFont="1" applyBorder="1" applyAlignment="1">
      <alignment horizontal="center"/>
    </xf>
    <xf numFmtId="0" fontId="39" fillId="0" borderId="0" xfId="0" applyFont="1"/>
    <xf numFmtId="0" fontId="39" fillId="0" borderId="16" xfId="0" applyFont="1" applyBorder="1"/>
    <xf numFmtId="9" fontId="30" fillId="0" borderId="0" xfId="0" applyNumberFormat="1" applyFont="1"/>
    <xf numFmtId="0" fontId="31" fillId="0" borderId="16" xfId="0" applyFont="1" applyBorder="1"/>
    <xf numFmtId="0" fontId="12" fillId="0" borderId="3" xfId="0" applyFont="1" applyBorder="1"/>
    <xf numFmtId="2" fontId="11" fillId="0" borderId="13" xfId="0" applyNumberFormat="1" applyFont="1" applyBorder="1"/>
    <xf numFmtId="0" fontId="12" fillId="0" borderId="0" xfId="0" applyFont="1"/>
    <xf numFmtId="2" fontId="21" fillId="0" borderId="0" xfId="0" applyNumberFormat="1" applyFont="1"/>
    <xf numFmtId="0" fontId="31" fillId="0" borderId="0" xfId="0" applyFont="1"/>
    <xf numFmtId="164" fontId="30" fillId="0" borderId="0" xfId="2" applyFont="1"/>
    <xf numFmtId="2" fontId="21" fillId="0" borderId="23" xfId="0" applyNumberFormat="1" applyFont="1" applyBorder="1" applyAlignment="1">
      <alignment horizontal="center"/>
    </xf>
    <xf numFmtId="43" fontId="0" fillId="0" borderId="0" xfId="0" applyNumberFormat="1"/>
    <xf numFmtId="44" fontId="15" fillId="0" borderId="0" xfId="0" applyNumberFormat="1" applyFont="1"/>
    <xf numFmtId="10" fontId="30" fillId="0" borderId="0" xfId="0" applyNumberFormat="1" applyFont="1"/>
    <xf numFmtId="0" fontId="0" fillId="0" borderId="0" xfId="0"/>
    <xf numFmtId="0" fontId="7" fillId="0" borderId="0" xfId="0" applyFont="1"/>
    <xf numFmtId="0" fontId="14" fillId="0" borderId="0" xfId="0" applyFont="1" applyBorder="1" applyAlignment="1">
      <alignment horizontal="right"/>
    </xf>
    <xf numFmtId="0" fontId="39" fillId="0" borderId="8" xfId="0" applyFont="1" applyBorder="1" applyAlignment="1">
      <alignment horizontal="left"/>
    </xf>
    <xf numFmtId="0" fontId="16" fillId="0" borderId="0" xfId="0" applyFont="1" applyAlignment="1">
      <alignment horizontal="right"/>
    </xf>
    <xf numFmtId="2" fontId="14" fillId="0" borderId="22" xfId="0" applyNumberFormat="1" applyFont="1" applyFill="1" applyBorder="1" applyAlignment="1">
      <alignment horizontal="right"/>
    </xf>
    <xf numFmtId="0" fontId="39" fillId="0" borderId="8" xfId="0" applyFont="1" applyFill="1" applyBorder="1"/>
    <xf numFmtId="0" fontId="14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2" fontId="21" fillId="0" borderId="23" xfId="0" applyNumberFormat="1" applyFont="1" applyFill="1" applyBorder="1" applyAlignment="1">
      <alignment horizontal="center"/>
    </xf>
    <xf numFmtId="0" fontId="16" fillId="0" borderId="0" xfId="0" applyFont="1" applyFill="1" applyAlignment="1"/>
    <xf numFmtId="2" fontId="16" fillId="0" borderId="23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0" fillId="0" borderId="0" xfId="0"/>
    <xf numFmtId="2" fontId="15" fillId="0" borderId="0" xfId="0" applyNumberFormat="1" applyFont="1"/>
    <xf numFmtId="44" fontId="14" fillId="0" borderId="22" xfId="0" applyNumberFormat="1" applyFont="1" applyBorder="1"/>
    <xf numFmtId="44" fontId="15" fillId="0" borderId="0" xfId="10" applyFont="1"/>
    <xf numFmtId="0" fontId="16" fillId="0" borderId="0" xfId="0" applyFont="1" applyFill="1" applyAlignment="1">
      <alignment horizontal="right"/>
    </xf>
    <xf numFmtId="0" fontId="14" fillId="0" borderId="0" xfId="0" applyFont="1" applyBorder="1" applyAlignment="1">
      <alignment horizontal="right"/>
    </xf>
    <xf numFmtId="0" fontId="11" fillId="5" borderId="6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left" vertical="top"/>
    </xf>
    <xf numFmtId="44" fontId="12" fillId="0" borderId="2" xfId="10" applyFont="1" applyFill="1" applyBorder="1" applyAlignment="1">
      <alignment horizontal="right" wrapText="1"/>
    </xf>
    <xf numFmtId="44" fontId="14" fillId="0" borderId="0" xfId="0" applyNumberFormat="1" applyFont="1" applyBorder="1" applyAlignment="1">
      <alignment horizontal="right"/>
    </xf>
    <xf numFmtId="2" fontId="21" fillId="10" borderId="23" xfId="0" applyNumberFormat="1" applyFont="1" applyFill="1" applyBorder="1" applyAlignment="1">
      <alignment horizontal="center"/>
    </xf>
    <xf numFmtId="0" fontId="29" fillId="0" borderId="0" xfId="0" applyFont="1"/>
    <xf numFmtId="10" fontId="29" fillId="0" borderId="0" xfId="9" applyNumberFormat="1" applyFont="1"/>
    <xf numFmtId="172" fontId="29" fillId="0" borderId="0" xfId="0" applyNumberFormat="1" applyFont="1"/>
    <xf numFmtId="10" fontId="29" fillId="0" borderId="0" xfId="0" applyNumberFormat="1" applyFont="1" applyAlignment="1">
      <alignment horizontal="right" vertical="center"/>
    </xf>
    <xf numFmtId="2" fontId="29" fillId="0" borderId="0" xfId="0" applyNumberFormat="1" applyFont="1"/>
    <xf numFmtId="0" fontId="29" fillId="0" borderId="0" xfId="0" applyFont="1" applyFill="1"/>
    <xf numFmtId="10" fontId="29" fillId="0" borderId="0" xfId="9" applyNumberFormat="1" applyFont="1" applyFill="1"/>
    <xf numFmtId="172" fontId="29" fillId="0" borderId="0" xfId="0" applyNumberFormat="1" applyFont="1" applyFill="1"/>
    <xf numFmtId="10" fontId="29" fillId="0" borderId="0" xfId="0" applyNumberFormat="1" applyFont="1" applyFill="1" applyAlignment="1">
      <alignment horizontal="right" vertical="center"/>
    </xf>
    <xf numFmtId="2" fontId="29" fillId="0" borderId="0" xfId="0" applyNumberFormat="1" applyFont="1" applyFill="1"/>
    <xf numFmtId="0" fontId="45" fillId="0" borderId="0" xfId="0" applyFont="1"/>
    <xf numFmtId="0" fontId="45" fillId="0" borderId="0" xfId="0" applyFont="1" applyFill="1"/>
    <xf numFmtId="44" fontId="42" fillId="0" borderId="2" xfId="10" applyFont="1" applyFill="1" applyBorder="1"/>
    <xf numFmtId="0" fontId="46" fillId="0" borderId="2" xfId="6" applyFont="1" applyBorder="1" applyAlignment="1">
      <alignment horizontal="center"/>
    </xf>
    <xf numFmtId="44" fontId="42" fillId="0" borderId="2" xfId="10" applyFont="1" applyBorder="1" applyAlignment="1">
      <alignment horizontal="center"/>
    </xf>
    <xf numFmtId="44" fontId="42" fillId="0" borderId="2" xfId="10" applyFont="1" applyBorder="1"/>
    <xf numFmtId="44" fontId="46" fillId="0" borderId="2" xfId="10" applyFont="1" applyBorder="1"/>
    <xf numFmtId="0" fontId="47" fillId="0" borderId="0" xfId="0" applyFont="1" applyFill="1" applyBorder="1" applyAlignment="1">
      <alignment horizontal="center"/>
    </xf>
    <xf numFmtId="0" fontId="46" fillId="0" borderId="0" xfId="6" applyFont="1" applyFill="1" applyBorder="1" applyAlignment="1">
      <alignment horizontal="center"/>
    </xf>
    <xf numFmtId="9" fontId="42" fillId="0" borderId="0" xfId="9" applyFont="1" applyFill="1" applyBorder="1" applyAlignment="1">
      <alignment horizontal="center" vertical="center"/>
    </xf>
    <xf numFmtId="166" fontId="42" fillId="0" borderId="0" xfId="0" applyNumberFormat="1" applyFont="1" applyFill="1" applyBorder="1"/>
    <xf numFmtId="44" fontId="42" fillId="0" borderId="0" xfId="0" applyNumberFormat="1" applyFont="1" applyFill="1" applyBorder="1"/>
    <xf numFmtId="44" fontId="42" fillId="0" borderId="0" xfId="10" applyFont="1" applyFill="1" applyBorder="1"/>
    <xf numFmtId="0" fontId="42" fillId="0" borderId="0" xfId="0" applyFont="1" applyFill="1" applyBorder="1"/>
    <xf numFmtId="166" fontId="14" fillId="0" borderId="2" xfId="10" applyNumberFormat="1" applyFont="1" applyBorder="1"/>
    <xf numFmtId="44" fontId="46" fillId="0" borderId="0" xfId="0" applyNumberFormat="1" applyFont="1" applyFill="1" applyBorder="1"/>
    <xf numFmtId="0" fontId="29" fillId="0" borderId="0" xfId="0" applyFont="1" applyFill="1" applyBorder="1"/>
    <xf numFmtId="0" fontId="42" fillId="0" borderId="0" xfId="0" applyFont="1" applyFill="1" applyBorder="1" applyAlignment="1"/>
    <xf numFmtId="44" fontId="42" fillId="0" borderId="0" xfId="0" applyNumberFormat="1" applyFont="1" applyFill="1" applyBorder="1" applyAlignment="1"/>
    <xf numFmtId="44" fontId="46" fillId="0" borderId="0" xfId="0" applyNumberFormat="1" applyFont="1" applyFill="1" applyBorder="1" applyAlignment="1"/>
    <xf numFmtId="0" fontId="18" fillId="0" borderId="0" xfId="0" applyFont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/>
    <xf numFmtId="2" fontId="25" fillId="0" borderId="2" xfId="0" applyNumberFormat="1" applyFont="1" applyBorder="1"/>
    <xf numFmtId="0" fontId="18" fillId="11" borderId="2" xfId="0" applyFont="1" applyFill="1" applyBorder="1"/>
    <xf numFmtId="2" fontId="25" fillId="11" borderId="2" xfId="0" applyNumberFormat="1" applyFont="1" applyFill="1" applyBorder="1"/>
    <xf numFmtId="0" fontId="25" fillId="0" borderId="0" xfId="0" applyFont="1"/>
    <xf numFmtId="0" fontId="18" fillId="0" borderId="0" xfId="0" applyFont="1" applyAlignment="1">
      <alignment horizontal="right"/>
    </xf>
    <xf numFmtId="0" fontId="48" fillId="12" borderId="0" xfId="0" applyFont="1" applyFill="1"/>
    <xf numFmtId="0" fontId="38" fillId="9" borderId="20" xfId="8" applyFont="1" applyFill="1" applyBorder="1" applyAlignment="1">
      <alignment horizontal="center" vertical="center" wrapText="1"/>
    </xf>
    <xf numFmtId="0" fontId="38" fillId="9" borderId="12" xfId="8" applyFont="1" applyFill="1" applyBorder="1" applyAlignment="1">
      <alignment horizontal="center" vertical="center" wrapText="1"/>
    </xf>
    <xf numFmtId="0" fontId="38" fillId="9" borderId="21" xfId="8" applyFont="1" applyFill="1" applyBorder="1" applyAlignment="1">
      <alignment horizontal="center" vertical="center" wrapText="1"/>
    </xf>
    <xf numFmtId="0" fontId="38" fillId="9" borderId="16" xfId="8" applyFont="1" applyFill="1" applyBorder="1" applyAlignment="1">
      <alignment horizontal="center" vertical="center" wrapText="1"/>
    </xf>
    <xf numFmtId="0" fontId="38" fillId="9" borderId="3" xfId="8" applyFont="1" applyFill="1" applyBorder="1" applyAlignment="1">
      <alignment horizontal="center" vertical="center" wrapText="1"/>
    </xf>
    <xf numFmtId="0" fontId="38" fillId="9" borderId="13" xfId="8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/>
    </xf>
    <xf numFmtId="0" fontId="40" fillId="9" borderId="12" xfId="0" applyFont="1" applyFill="1" applyBorder="1" applyAlignment="1">
      <alignment horizontal="center"/>
    </xf>
    <xf numFmtId="0" fontId="40" fillId="9" borderId="21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6" fillId="0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31" fillId="0" borderId="16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9" fillId="0" borderId="16" xfId="0" applyFont="1" applyBorder="1" applyAlignment="1">
      <alignment horizontal="left"/>
    </xf>
    <xf numFmtId="0" fontId="39" fillId="0" borderId="3" xfId="0" applyFont="1" applyBorder="1" applyAlignment="1">
      <alignment horizontal="left"/>
    </xf>
    <xf numFmtId="0" fontId="39" fillId="0" borderId="8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43" fillId="0" borderId="8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39" fillId="0" borderId="16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8" borderId="20" xfId="6" applyFont="1" applyFill="1" applyBorder="1" applyAlignment="1">
      <alignment horizontal="center"/>
    </xf>
    <xf numFmtId="0" fontId="11" fillId="8" borderId="7" xfId="6" applyFont="1" applyFill="1" applyBorder="1" applyAlignment="1">
      <alignment horizontal="center"/>
    </xf>
    <xf numFmtId="0" fontId="13" fillId="8" borderId="20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11" fillId="5" borderId="20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1" fillId="8" borderId="5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11" fillId="8" borderId="20" xfId="6" applyFont="1" applyFill="1" applyBorder="1" applyAlignment="1">
      <alignment horizontal="center" vertical="center"/>
    </xf>
    <xf numFmtId="0" fontId="11" fillId="8" borderId="12" xfId="6" applyFont="1" applyFill="1" applyBorder="1" applyAlignment="1">
      <alignment horizontal="center" vertical="center"/>
    </xf>
    <xf numFmtId="0" fontId="11" fillId="8" borderId="21" xfId="6" applyFont="1" applyFill="1" applyBorder="1" applyAlignment="1">
      <alignment horizontal="center" vertical="center"/>
    </xf>
    <xf numFmtId="0" fontId="11" fillId="8" borderId="16" xfId="6" applyFont="1" applyFill="1" applyBorder="1" applyAlignment="1">
      <alignment horizontal="center" vertical="center"/>
    </xf>
    <xf numFmtId="0" fontId="11" fillId="8" borderId="3" xfId="6" applyFont="1" applyFill="1" applyBorder="1" applyAlignment="1">
      <alignment horizontal="center" vertical="center"/>
    </xf>
    <xf numFmtId="0" fontId="11" fillId="8" borderId="13" xfId="6" applyFont="1" applyFill="1" applyBorder="1" applyAlignment="1">
      <alignment horizontal="center" vertical="center"/>
    </xf>
    <xf numFmtId="0" fontId="11" fillId="8" borderId="5" xfId="6" applyFont="1" applyFill="1" applyBorder="1" applyAlignment="1">
      <alignment horizontal="center"/>
    </xf>
    <xf numFmtId="0" fontId="11" fillId="8" borderId="6" xfId="6" applyFont="1" applyFill="1" applyBorder="1" applyAlignment="1">
      <alignment horizontal="center"/>
    </xf>
    <xf numFmtId="0" fontId="11" fillId="8" borderId="5" xfId="7" applyFont="1" applyFill="1" applyBorder="1" applyAlignment="1">
      <alignment horizontal="center"/>
    </xf>
    <xf numFmtId="0" fontId="11" fillId="8" borderId="6" xfId="7" applyFont="1" applyFill="1" applyBorder="1" applyAlignment="1">
      <alignment horizontal="center"/>
    </xf>
    <xf numFmtId="0" fontId="11" fillId="8" borderId="7" xfId="7" applyFont="1" applyFill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3" fillId="0" borderId="5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1" fillId="8" borderId="2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9" fontId="14" fillId="0" borderId="5" xfId="0" applyNumberFormat="1" applyFont="1" applyBorder="1" applyAlignment="1">
      <alignment horizontal="center"/>
    </xf>
    <xf numFmtId="9" fontId="14" fillId="0" borderId="7" xfId="0" applyNumberFormat="1" applyFont="1" applyBorder="1" applyAlignment="1">
      <alignment horizontal="center"/>
    </xf>
    <xf numFmtId="0" fontId="13" fillId="8" borderId="5" xfId="0" applyFont="1" applyFill="1" applyBorder="1" applyAlignment="1">
      <alignment horizontal="right"/>
    </xf>
    <xf numFmtId="0" fontId="13" fillId="8" borderId="6" xfId="0" applyFont="1" applyFill="1" applyBorder="1" applyAlignment="1">
      <alignment horizontal="right"/>
    </xf>
    <xf numFmtId="0" fontId="13" fillId="8" borderId="7" xfId="0" applyFont="1" applyFill="1" applyBorder="1" applyAlignment="1">
      <alignment horizontal="right"/>
    </xf>
    <xf numFmtId="0" fontId="18" fillId="8" borderId="5" xfId="0" applyFont="1" applyFill="1" applyBorder="1" applyAlignment="1">
      <alignment horizontal="left"/>
    </xf>
    <xf numFmtId="0" fontId="18" fillId="8" borderId="6" xfId="0" applyFont="1" applyFill="1" applyBorder="1" applyAlignment="1">
      <alignment horizontal="left"/>
    </xf>
    <xf numFmtId="0" fontId="18" fillId="8" borderId="7" xfId="0" applyFont="1" applyFill="1" applyBorder="1" applyAlignment="1">
      <alignment horizontal="left"/>
    </xf>
    <xf numFmtId="0" fontId="13" fillId="8" borderId="5" xfId="0" applyFont="1" applyFill="1" applyBorder="1" applyAlignment="1">
      <alignment horizontal="left"/>
    </xf>
    <xf numFmtId="0" fontId="13" fillId="8" borderId="6" xfId="0" applyFont="1" applyFill="1" applyBorder="1" applyAlignment="1">
      <alignment horizontal="left"/>
    </xf>
    <xf numFmtId="0" fontId="13" fillId="8" borderId="7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/>
    </xf>
    <xf numFmtId="9" fontId="12" fillId="0" borderId="7" xfId="0" applyNumberFormat="1" applyFont="1" applyBorder="1" applyAlignment="1">
      <alignment horizontal="center"/>
    </xf>
    <xf numFmtId="0" fontId="21" fillId="0" borderId="0" xfId="0" applyFont="1" applyBorder="1"/>
    <xf numFmtId="0" fontId="20" fillId="5" borderId="19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11" fillId="8" borderId="5" xfId="3" applyFont="1" applyFill="1" applyBorder="1" applyAlignment="1">
      <alignment horizontal="center"/>
    </xf>
    <xf numFmtId="0" fontId="11" fillId="8" borderId="6" xfId="3" applyFont="1" applyFill="1" applyBorder="1" applyAlignment="1">
      <alignment horizontal="center"/>
    </xf>
    <xf numFmtId="0" fontId="11" fillId="8" borderId="7" xfId="3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1" fillId="0" borderId="2" xfId="0" applyFont="1" applyBorder="1"/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1" fillId="0" borderId="26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4" fillId="9" borderId="2" xfId="2" applyFont="1" applyFill="1" applyBorder="1" applyAlignment="1" applyProtection="1">
      <alignment horizontal="center" vertical="center" wrapText="1"/>
    </xf>
    <xf numFmtId="0" fontId="16" fillId="0" borderId="2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1" fillId="9" borderId="2" xfId="0" applyFont="1" applyFill="1" applyBorder="1" applyAlignment="1">
      <alignment horizontal="center" wrapText="1"/>
    </xf>
    <xf numFmtId="0" fontId="11" fillId="9" borderId="19" xfId="0" applyFont="1" applyFill="1" applyBorder="1" applyAlignment="1">
      <alignment horizontal="center" wrapText="1"/>
    </xf>
    <xf numFmtId="0" fontId="23" fillId="9" borderId="2" xfId="0" applyFont="1" applyFill="1" applyBorder="1" applyAlignment="1">
      <alignment horizontal="center" wrapText="1"/>
    </xf>
    <xf numFmtId="0" fontId="23" fillId="9" borderId="19" xfId="0" applyFont="1" applyFill="1" applyBorder="1" applyAlignment="1">
      <alignment horizontal="center" wrapText="1"/>
    </xf>
    <xf numFmtId="2" fontId="23" fillId="9" borderId="19" xfId="0" applyNumberFormat="1" applyFont="1" applyFill="1" applyBorder="1" applyAlignment="1">
      <alignment horizontal="center" vertical="center" wrapText="1"/>
    </xf>
    <xf numFmtId="2" fontId="23" fillId="9" borderId="14" xfId="0" applyNumberFormat="1" applyFont="1" applyFill="1" applyBorder="1" applyAlignment="1">
      <alignment horizontal="center" vertical="center" wrapText="1"/>
    </xf>
    <xf numFmtId="10" fontId="11" fillId="9" borderId="19" xfId="9" applyNumberFormat="1" applyFont="1" applyFill="1" applyBorder="1" applyAlignment="1">
      <alignment horizontal="center" vertical="center"/>
    </xf>
    <xf numFmtId="10" fontId="11" fillId="9" borderId="14" xfId="9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11" fillId="5" borderId="2" xfId="2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4" fontId="14" fillId="0" borderId="2" xfId="10" applyFont="1" applyBorder="1" applyAlignment="1">
      <alignment vertical="center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/>
    </xf>
    <xf numFmtId="10" fontId="12" fillId="0" borderId="5" xfId="0" applyNumberFormat="1" applyFont="1" applyBorder="1" applyAlignment="1">
      <alignment horizontal="center"/>
    </xf>
    <xf numFmtId="10" fontId="12" fillId="0" borderId="7" xfId="0" applyNumberFormat="1" applyFont="1" applyBorder="1" applyAlignment="1">
      <alignment horizontal="center"/>
    </xf>
    <xf numFmtId="0" fontId="11" fillId="0" borderId="5" xfId="0" applyFont="1" applyBorder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13" fillId="8" borderId="5" xfId="0" applyFont="1" applyFill="1" applyBorder="1" applyAlignment="1">
      <alignment horizontal="left" wrapText="1"/>
    </xf>
    <xf numFmtId="0" fontId="13" fillId="8" borderId="6" xfId="0" applyFont="1" applyFill="1" applyBorder="1" applyAlignment="1">
      <alignment horizontal="left" wrapText="1"/>
    </xf>
    <xf numFmtId="0" fontId="13" fillId="8" borderId="7" xfId="0" applyFont="1" applyFill="1" applyBorder="1" applyAlignment="1">
      <alignment horizontal="left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vertical="center"/>
    </xf>
    <xf numFmtId="44" fontId="42" fillId="0" borderId="0" xfId="0" applyNumberFormat="1" applyFont="1" applyFill="1" applyBorder="1" applyAlignment="1">
      <alignment vertical="center"/>
    </xf>
    <xf numFmtId="0" fontId="11" fillId="10" borderId="2" xfId="0" applyFont="1" applyFill="1" applyBorder="1" applyAlignment="1">
      <alignment horizontal="left" wrapText="1"/>
    </xf>
    <xf numFmtId="0" fontId="13" fillId="10" borderId="2" xfId="0" applyFont="1" applyFill="1" applyBorder="1" applyAlignment="1">
      <alignment horizontal="left"/>
    </xf>
    <xf numFmtId="0" fontId="11" fillId="10" borderId="5" xfId="0" applyFont="1" applyFill="1" applyBorder="1" applyAlignment="1">
      <alignment horizontal="left"/>
    </xf>
    <xf numFmtId="0" fontId="11" fillId="10" borderId="6" xfId="0" applyFont="1" applyFill="1" applyBorder="1" applyAlignment="1">
      <alignment horizontal="left"/>
    </xf>
    <xf numFmtId="0" fontId="36" fillId="0" borderId="12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170" fontId="11" fillId="0" borderId="5" xfId="10" applyNumberFormat="1" applyFont="1" applyBorder="1" applyAlignment="1">
      <alignment horizontal="center"/>
    </xf>
    <xf numFmtId="170" fontId="11" fillId="0" borderId="7" xfId="10" applyNumberFormat="1" applyFont="1" applyBorder="1" applyAlignment="1">
      <alignment horizontal="center"/>
    </xf>
    <xf numFmtId="170" fontId="11" fillId="6" borderId="2" xfId="10" applyNumberFormat="1" applyFont="1" applyFill="1" applyBorder="1" applyAlignment="1">
      <alignment horizontal="center"/>
    </xf>
    <xf numFmtId="14" fontId="12" fillId="0" borderId="5" xfId="10" applyNumberFormat="1" applyFont="1" applyBorder="1" applyAlignment="1">
      <alignment horizontal="center"/>
    </xf>
    <xf numFmtId="14" fontId="12" fillId="0" borderId="7" xfId="10" applyNumberFormat="1" applyFont="1" applyBorder="1" applyAlignment="1">
      <alignment horizontal="center"/>
    </xf>
    <xf numFmtId="171" fontId="11" fillId="0" borderId="5" xfId="10" applyNumberFormat="1" applyFont="1" applyBorder="1" applyAlignment="1">
      <alignment horizontal="center"/>
    </xf>
    <xf numFmtId="170" fontId="12" fillId="0" borderId="5" xfId="10" applyNumberFormat="1" applyFont="1" applyBorder="1" applyAlignment="1">
      <alignment horizontal="center"/>
    </xf>
    <xf numFmtId="170" fontId="12" fillId="0" borderId="7" xfId="10" applyNumberFormat="1" applyFon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164" fontId="12" fillId="0" borderId="5" xfId="2" applyFont="1" applyBorder="1" applyAlignment="1">
      <alignment horizontal="left" vertical="center"/>
    </xf>
    <xf numFmtId="164" fontId="12" fillId="0" borderId="7" xfId="2" applyFont="1" applyBorder="1" applyAlignment="1">
      <alignment horizontal="left" vertical="center"/>
    </xf>
    <xf numFmtId="164" fontId="12" fillId="0" borderId="5" xfId="2" applyFont="1" applyBorder="1" applyAlignment="1">
      <alignment horizontal="center" vertical="center"/>
    </xf>
    <xf numFmtId="164" fontId="12" fillId="0" borderId="7" xfId="2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21" fillId="6" borderId="5" xfId="0" applyFont="1" applyFill="1" applyBorder="1" applyAlignment="1">
      <alignment horizontal="center"/>
    </xf>
    <xf numFmtId="0" fontId="21" fillId="6" borderId="7" xfId="0" applyFont="1" applyFill="1" applyBorder="1" applyAlignment="1">
      <alignment horizontal="center"/>
    </xf>
    <xf numFmtId="44" fontId="12" fillId="0" borderId="5" xfId="10" applyFont="1" applyBorder="1" applyAlignment="1">
      <alignment horizontal="center"/>
    </xf>
    <xf numFmtId="44" fontId="12" fillId="0" borderId="7" xfId="10" applyFont="1" applyBorder="1" applyAlignment="1">
      <alignment horizontal="center"/>
    </xf>
    <xf numFmtId="0" fontId="35" fillId="6" borderId="20" xfId="6" applyFont="1" applyFill="1" applyBorder="1" applyAlignment="1">
      <alignment horizontal="center" vertical="center"/>
    </xf>
    <xf numFmtId="0" fontId="35" fillId="6" borderId="21" xfId="6" applyFont="1" applyFill="1" applyBorder="1" applyAlignment="1">
      <alignment horizontal="center" vertical="center"/>
    </xf>
    <xf numFmtId="0" fontId="35" fillId="6" borderId="8" xfId="6" applyFont="1" applyFill="1" applyBorder="1" applyAlignment="1">
      <alignment horizontal="center" vertical="center"/>
    </xf>
    <xf numFmtId="0" fontId="35" fillId="6" borderId="22" xfId="6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170" fontId="11" fillId="6" borderId="5" xfId="10" applyNumberFormat="1" applyFont="1" applyFill="1" applyBorder="1" applyAlignment="1">
      <alignment horizontal="center"/>
    </xf>
    <xf numFmtId="170" fontId="11" fillId="6" borderId="7" xfId="10" applyNumberFormat="1" applyFont="1" applyFill="1" applyBorder="1" applyAlignment="1">
      <alignment horizontal="center"/>
    </xf>
    <xf numFmtId="169" fontId="12" fillId="0" borderId="5" xfId="10" applyNumberFormat="1" applyFont="1" applyBorder="1" applyAlignment="1">
      <alignment horizontal="center"/>
    </xf>
    <xf numFmtId="169" fontId="12" fillId="0" borderId="7" xfId="1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10" fontId="12" fillId="0" borderId="5" xfId="9" applyNumberFormat="1" applyFont="1" applyBorder="1" applyAlignment="1">
      <alignment horizontal="center"/>
    </xf>
    <xf numFmtId="10" fontId="12" fillId="0" borderId="7" xfId="9" applyNumberFormat="1" applyFont="1" applyBorder="1" applyAlignment="1">
      <alignment horizontal="center"/>
    </xf>
    <xf numFmtId="9" fontId="12" fillId="0" borderId="5" xfId="9" applyFont="1" applyBorder="1" applyAlignment="1">
      <alignment horizontal="center"/>
    </xf>
    <xf numFmtId="9" fontId="12" fillId="0" borderId="7" xfId="9" applyFont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44" fillId="10" borderId="12" xfId="0" applyFont="1" applyFill="1" applyBorder="1" applyAlignment="1">
      <alignment horizontal="left" vertical="top" wrapText="1"/>
    </xf>
    <xf numFmtId="0" fontId="44" fillId="10" borderId="0" xfId="0" applyFont="1" applyFill="1" applyBorder="1" applyAlignment="1">
      <alignment horizontal="left" vertical="top" wrapText="1"/>
    </xf>
    <xf numFmtId="0" fontId="35" fillId="6" borderId="20" xfId="6" applyFont="1" applyFill="1" applyBorder="1" applyAlignment="1">
      <alignment horizontal="center" vertical="center" wrapText="1"/>
    </xf>
    <xf numFmtId="0" fontId="35" fillId="6" borderId="21" xfId="6" applyFont="1" applyFill="1" applyBorder="1" applyAlignment="1">
      <alignment horizontal="center" vertical="center" wrapText="1"/>
    </xf>
    <xf numFmtId="0" fontId="35" fillId="6" borderId="8" xfId="6" applyFont="1" applyFill="1" applyBorder="1" applyAlignment="1">
      <alignment horizontal="center" vertical="center" wrapText="1"/>
    </xf>
    <xf numFmtId="0" fontId="35" fillId="6" borderId="22" xfId="6" applyFont="1" applyFill="1" applyBorder="1" applyAlignment="1">
      <alignment horizontal="center" vertical="center" wrapText="1"/>
    </xf>
    <xf numFmtId="0" fontId="35" fillId="6" borderId="16" xfId="6" applyFont="1" applyFill="1" applyBorder="1" applyAlignment="1">
      <alignment horizontal="center" vertical="center" wrapText="1"/>
    </xf>
    <xf numFmtId="0" fontId="35" fillId="6" borderId="13" xfId="6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6" borderId="5" xfId="6" applyFont="1" applyFill="1" applyBorder="1" applyAlignment="1">
      <alignment horizontal="center" vertical="center"/>
    </xf>
    <xf numFmtId="0" fontId="11" fillId="6" borderId="7" xfId="6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3" fillId="10" borderId="0" xfId="0" applyFont="1" applyFill="1" applyBorder="1" applyAlignment="1">
      <alignment horizontal="right"/>
    </xf>
    <xf numFmtId="0" fontId="11" fillId="0" borderId="7" xfId="0" applyFont="1" applyBorder="1" applyAlignment="1">
      <alignment horizontal="left"/>
    </xf>
    <xf numFmtId="2" fontId="25" fillId="0" borderId="12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</cellXfs>
  <cellStyles count="11">
    <cellStyle name="20% - Ênfase1" xfId="4" builtinId="30"/>
    <cellStyle name="20% - Ênfase6" xfId="5" builtinId="50"/>
    <cellStyle name="Moeda" xfId="10" builtinId="4"/>
    <cellStyle name="Normal" xfId="0" builtinId="0"/>
    <cellStyle name="Nota" xfId="1" builtinId="10"/>
    <cellStyle name="Porcentagem" xfId="9" builtinId="5"/>
    <cellStyle name="Separador de milhares" xfId="2" builtinId="3"/>
    <cellStyle name="Título" xfId="8" builtinId="15"/>
    <cellStyle name="Título 1" xfId="3" builtinId="16"/>
    <cellStyle name="Título 2" xfId="6" builtinId="17"/>
    <cellStyle name="Título 3" xfId="7" builtinId="18"/>
  </cellStyles>
  <dxfs count="0"/>
  <tableStyles count="0" defaultTableStyle="TableStyleMedium2" defaultPivotStyle="PivotStyleLight16"/>
  <colors>
    <mruColors>
      <color rgb="FFFFCC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A7" zoomScaleNormal="100" workbookViewId="0">
      <selection activeCell="L16" sqref="L16"/>
    </sheetView>
  </sheetViews>
  <sheetFormatPr defaultRowHeight="15"/>
  <cols>
    <col min="1" max="3" width="9.140625" style="21"/>
    <col min="4" max="4" width="9.140625" style="21" customWidth="1"/>
    <col min="5" max="5" width="10.140625" style="21" customWidth="1"/>
    <col min="6" max="6" width="9.140625" style="21" customWidth="1"/>
    <col min="7" max="9" width="9.140625" style="21"/>
    <col min="10" max="10" width="9.140625" style="21" customWidth="1"/>
    <col min="11" max="13" width="9.140625" style="21"/>
    <col min="14" max="14" width="20.140625" style="21" customWidth="1"/>
    <col min="15" max="16384" width="9.140625" style="21"/>
  </cols>
  <sheetData>
    <row r="1" spans="1:14" ht="18" customHeight="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4" ht="18" customHeight="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4" ht="12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4">
      <c r="A4" s="21" t="s">
        <v>160</v>
      </c>
      <c r="C4" s="329" t="s">
        <v>161</v>
      </c>
      <c r="D4" s="329"/>
      <c r="E4" s="329"/>
      <c r="F4" s="329"/>
      <c r="G4" s="329"/>
      <c r="H4" s="329"/>
      <c r="I4" s="329"/>
      <c r="J4" s="329"/>
      <c r="N4" s="271"/>
    </row>
    <row r="5" spans="1:14">
      <c r="A5" s="21" t="s">
        <v>232</v>
      </c>
      <c r="G5" s="267">
        <v>89.66</v>
      </c>
      <c r="H5" s="49"/>
      <c r="I5" s="49"/>
      <c r="J5" s="49"/>
      <c r="K5" s="21">
        <f>G5*21</f>
        <v>1882.86</v>
      </c>
      <c r="N5" s="273"/>
    </row>
    <row r="6" spans="1:14">
      <c r="A6" s="21" t="s">
        <v>162</v>
      </c>
      <c r="B6" s="335" t="s">
        <v>163</v>
      </c>
      <c r="C6" s="335"/>
      <c r="D6" s="335"/>
      <c r="E6" s="335"/>
      <c r="F6" s="335"/>
      <c r="G6" s="335"/>
    </row>
    <row r="7" spans="1:14">
      <c r="A7" s="21" t="s">
        <v>164</v>
      </c>
      <c r="E7" s="200"/>
      <c r="G7" s="235">
        <v>244</v>
      </c>
      <c r="K7" s="271">
        <f>E42</f>
        <v>6.9199489101447149</v>
      </c>
    </row>
    <row r="8" spans="1:14">
      <c r="A8" s="21" t="s">
        <v>165</v>
      </c>
      <c r="F8" s="200"/>
      <c r="G8" s="235">
        <v>12</v>
      </c>
    </row>
    <row r="9" spans="1:14">
      <c r="A9" s="21" t="s">
        <v>166</v>
      </c>
      <c r="G9" s="235">
        <v>21</v>
      </c>
    </row>
    <row r="10" spans="1:14">
      <c r="A10" s="21" t="s">
        <v>246</v>
      </c>
      <c r="G10" s="274">
        <v>49</v>
      </c>
    </row>
    <row r="11" spans="1:14">
      <c r="A11" s="21" t="s">
        <v>169</v>
      </c>
      <c r="C11" s="334" t="s">
        <v>245</v>
      </c>
      <c r="D11" s="334"/>
      <c r="E11" s="334"/>
      <c r="F11" s="334"/>
      <c r="G11" s="334"/>
    </row>
    <row r="13" spans="1:14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4" ht="8.25" customHeight="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4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4">
      <c r="A16" s="330" t="s">
        <v>260</v>
      </c>
      <c r="B16" s="331"/>
      <c r="C16" s="331"/>
      <c r="D16" s="331"/>
      <c r="E16" s="211">
        <f>'Comb, lub, Man'!I5</f>
        <v>4.8233333333333333</v>
      </c>
      <c r="F16" s="218" t="s">
        <v>189</v>
      </c>
      <c r="G16" s="57"/>
      <c r="H16" s="57"/>
      <c r="I16" s="57"/>
      <c r="J16" s="213">
        <f>' Pessoal'!D10</f>
        <v>2595.1799999999998</v>
      </c>
    </row>
    <row r="17" spans="1:10">
      <c r="A17" s="218" t="s">
        <v>172</v>
      </c>
      <c r="B17" s="57"/>
      <c r="C17" s="57"/>
      <c r="D17" s="57"/>
      <c r="E17" s="211">
        <f>'Comb, lub, Man'!I6</f>
        <v>3</v>
      </c>
      <c r="F17" s="218" t="s">
        <v>190</v>
      </c>
      <c r="G17" s="57"/>
      <c r="H17" s="57"/>
      <c r="I17" s="57"/>
      <c r="J17" s="211">
        <f>' Pessoal'!F64</f>
        <v>504.50299199999995</v>
      </c>
    </row>
    <row r="18" spans="1:10">
      <c r="A18" s="218" t="s">
        <v>173</v>
      </c>
      <c r="B18" s="57"/>
      <c r="C18" s="57"/>
      <c r="D18" s="57"/>
      <c r="E18" s="215">
        <f>'Comb, lub, Man'!I7</f>
        <v>1.6077777777777778</v>
      </c>
      <c r="F18" s="218" t="s">
        <v>191</v>
      </c>
      <c r="G18" s="57"/>
      <c r="H18" s="57"/>
      <c r="I18" s="57"/>
      <c r="J18" s="211">
        <f>' Pessoal'!F65</f>
        <v>960.90172751999989</v>
      </c>
    </row>
    <row r="19" spans="1:10">
      <c r="A19" s="205"/>
      <c r="B19" s="55"/>
      <c r="C19" s="55"/>
      <c r="D19" s="55"/>
      <c r="E19" s="182"/>
      <c r="F19" s="231" t="s">
        <v>192</v>
      </c>
      <c r="G19" s="55"/>
      <c r="H19" s="55"/>
      <c r="I19" s="55"/>
      <c r="J19" s="211">
        <f>' Pessoal'!F66</f>
        <v>515.64839517176961</v>
      </c>
    </row>
    <row r="20" spans="1:10">
      <c r="A20" s="214" t="s">
        <v>174</v>
      </c>
      <c r="B20" s="57"/>
      <c r="C20" s="57"/>
      <c r="D20" s="57"/>
      <c r="E20" s="182"/>
      <c r="F20" s="218" t="s">
        <v>193</v>
      </c>
      <c r="G20" s="57"/>
      <c r="H20" s="57"/>
      <c r="I20" s="57"/>
      <c r="J20" s="211">
        <f>' Pessoal'!F67</f>
        <v>46.012127406036818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4622.2452420978061</v>
      </c>
    </row>
    <row r="22" spans="1:10">
      <c r="A22" s="54"/>
      <c r="B22" s="57"/>
      <c r="C22" s="57"/>
      <c r="D22" s="57"/>
      <c r="E22" s="182"/>
      <c r="F22" s="218" t="s">
        <v>188</v>
      </c>
      <c r="G22" s="57"/>
      <c r="H22" s="57"/>
      <c r="I22" s="57"/>
      <c r="J22" s="223">
        <f>J21/(G5*21)</f>
        <v>2.4549064944275232</v>
      </c>
    </row>
    <row r="23" spans="1:10">
      <c r="A23" s="214" t="s">
        <v>176</v>
      </c>
      <c r="B23" s="57"/>
      <c r="C23" s="57"/>
      <c r="D23" s="57"/>
      <c r="E23" s="182"/>
      <c r="F23" s="54"/>
      <c r="G23" s="57"/>
      <c r="H23" s="57"/>
      <c r="I23" s="57"/>
      <c r="J23" s="206"/>
    </row>
    <row r="24" spans="1:10">
      <c r="A24" s="218" t="s">
        <v>261</v>
      </c>
      <c r="B24" s="57"/>
      <c r="C24" s="57"/>
      <c r="D24" s="57"/>
      <c r="E24" s="212">
        <f>'Admin, depre'!D22</f>
        <v>2002.7633333333333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182">
        <v>6</v>
      </c>
      <c r="F25" s="218" t="s">
        <v>200</v>
      </c>
      <c r="G25" s="57"/>
      <c r="H25" s="57"/>
      <c r="I25" s="57"/>
      <c r="J25" s="219">
        <f>'Admin, depre'!D7</f>
        <v>850.76</v>
      </c>
    </row>
    <row r="26" spans="1:10">
      <c r="A26" s="218" t="s">
        <v>180</v>
      </c>
      <c r="B26" s="57"/>
      <c r="C26" s="57"/>
      <c r="D26" s="57"/>
      <c r="E26" s="212">
        <f>'Admin, depre'!D23</f>
        <v>726.33333333333337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depre'!C21</f>
        <v>89000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depre'!D27</f>
        <v>0.2329503370786517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depre'!D11</f>
        <v>4400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376.572</v>
      </c>
      <c r="F31" s="218" t="s">
        <v>204</v>
      </c>
      <c r="G31" s="57"/>
      <c r="H31" s="57"/>
      <c r="I31" s="57"/>
      <c r="J31" s="219">
        <f>SUM(J25:J30)/10</f>
        <v>994.86399999999992</v>
      </c>
    </row>
    <row r="32" spans="1:10">
      <c r="A32" s="218" t="s">
        <v>183</v>
      </c>
      <c r="B32" s="57"/>
      <c r="C32" s="57"/>
      <c r="D32" s="57"/>
      <c r="E32" s="215">
        <f>(0.0083*'Admin, depre'!D5)/(K5)</f>
        <v>0.37503096353419801</v>
      </c>
      <c r="F32" s="218" t="s">
        <v>205</v>
      </c>
      <c r="G32" s="57"/>
      <c r="H32" s="57"/>
      <c r="I32" s="57"/>
      <c r="J32" s="223">
        <f>J31/(K5)</f>
        <v>0.52837916786165728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214" t="s">
        <v>241</v>
      </c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 t="s">
        <v>242</v>
      </c>
      <c r="G35" s="57"/>
      <c r="H35" s="57"/>
      <c r="I35" s="57"/>
      <c r="J35" s="272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3" t="s">
        <v>236</v>
      </c>
      <c r="B37" s="225"/>
      <c r="C37" s="225"/>
      <c r="D37" s="225"/>
      <c r="E37" s="237">
        <f>E32+E28+E21+E18</f>
        <v>2.4569257450572941</v>
      </c>
      <c r="F37" s="243" t="s">
        <v>208</v>
      </c>
      <c r="G37" s="225"/>
      <c r="H37" s="225"/>
      <c r="I37" s="225"/>
      <c r="J37" s="236">
        <f>J32+J22</f>
        <v>2.9832856622891804</v>
      </c>
    </row>
    <row r="38" spans="1:10">
      <c r="A38" s="27"/>
      <c r="E38" s="226"/>
      <c r="F38" s="239">
        <f>E37+J37+(E37+J37)*E39</f>
        <v>6.5282536888157692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0.39169522132894613</v>
      </c>
      <c r="F40" s="240"/>
      <c r="G40" s="240"/>
    </row>
    <row r="41" spans="1:10" ht="12.75" customHeight="1" thickBot="1">
      <c r="A41" s="242"/>
      <c r="D41" s="240"/>
      <c r="E41" s="238"/>
      <c r="F41" s="240"/>
      <c r="G41" s="240"/>
    </row>
    <row r="42" spans="1:10" ht="15.75" thickBot="1">
      <c r="A42" s="242" t="s">
        <v>264</v>
      </c>
      <c r="D42" s="240"/>
      <c r="E42" s="241">
        <f>F38+E40</f>
        <v>6.9199489101447149</v>
      </c>
      <c r="F42" s="240"/>
      <c r="G42" s="240"/>
    </row>
    <row r="43" spans="1:10">
      <c r="A43" s="281" t="s">
        <v>76</v>
      </c>
      <c r="B43" s="282">
        <v>0</v>
      </c>
      <c r="C43" s="240"/>
      <c r="D43" s="240"/>
      <c r="E43" s="283">
        <f>B43*F38</f>
        <v>0</v>
      </c>
      <c r="F43" s="240"/>
      <c r="G43" s="240"/>
    </row>
    <row r="44" spans="1:10">
      <c r="A44" s="281" t="s">
        <v>77</v>
      </c>
      <c r="B44" s="282">
        <v>0</v>
      </c>
      <c r="C44" s="240"/>
      <c r="D44" s="240"/>
      <c r="E44" s="283">
        <f>B44*F38</f>
        <v>0</v>
      </c>
      <c r="F44" s="240"/>
      <c r="G44" s="240"/>
    </row>
    <row r="45" spans="1:10">
      <c r="A45" s="281" t="s">
        <v>78</v>
      </c>
      <c r="B45" s="282">
        <v>0.02</v>
      </c>
      <c r="C45" s="240"/>
      <c r="D45" s="240"/>
      <c r="E45" s="283">
        <f>F38*B45</f>
        <v>0.13056507377631538</v>
      </c>
      <c r="F45" s="240"/>
      <c r="G45" s="240"/>
    </row>
    <row r="46" spans="1:10">
      <c r="A46" s="281" t="s">
        <v>22</v>
      </c>
      <c r="B46" s="284">
        <v>0.04</v>
      </c>
      <c r="C46" s="240"/>
      <c r="D46" s="240"/>
      <c r="E46" s="285">
        <f>F38*B46</f>
        <v>0.26113014755263075</v>
      </c>
      <c r="F46" s="240"/>
      <c r="G46" s="240"/>
    </row>
    <row r="47" spans="1:10">
      <c r="A47" s="240"/>
      <c r="B47" s="240"/>
      <c r="C47" s="240"/>
      <c r="D47" s="240"/>
      <c r="E47" s="240"/>
      <c r="F47" s="240"/>
      <c r="G47" s="240"/>
    </row>
    <row r="48" spans="1:10">
      <c r="E48" s="240"/>
    </row>
  </sheetData>
  <mergeCells count="8">
    <mergeCell ref="A1:J2"/>
    <mergeCell ref="A13:E13"/>
    <mergeCell ref="C4:J4"/>
    <mergeCell ref="A16:D16"/>
    <mergeCell ref="F13:J13"/>
    <mergeCell ref="A15:B15"/>
    <mergeCell ref="C11:G11"/>
    <mergeCell ref="B6:G6"/>
  </mergeCells>
  <pageMargins left="0.31496062992125984" right="0.31496062992125984" top="0.78740157480314965" bottom="0.78740157480314965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0"/>
  <sheetViews>
    <sheetView topLeftCell="A28" workbookViewId="0">
      <selection activeCell="N35" sqref="N35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250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69.66</v>
      </c>
      <c r="H5" s="49"/>
      <c r="I5" s="49"/>
      <c r="J5" s="49"/>
      <c r="K5" s="256">
        <f>G5*21</f>
        <v>1462.86</v>
      </c>
    </row>
    <row r="6" spans="1:11">
      <c r="A6" s="21" t="s">
        <v>162</v>
      </c>
      <c r="B6" s="335" t="s">
        <v>219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18</v>
      </c>
      <c r="H10" s="21"/>
      <c r="I10" s="21"/>
      <c r="J10" s="21"/>
    </row>
    <row r="11" spans="1:11">
      <c r="A11" s="21" t="s">
        <v>169</v>
      </c>
      <c r="B11" s="21"/>
      <c r="C11" s="334" t="s">
        <v>249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2.2041533877469495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292.572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0.32942181753551264</v>
      </c>
      <c r="F32" s="218" t="s">
        <v>205</v>
      </c>
      <c r="G32" s="57"/>
      <c r="H32" s="57"/>
      <c r="I32" s="57"/>
      <c r="J32" s="223">
        <f>J31/(K5)</f>
        <v>0.51805914441573353</v>
      </c>
    </row>
    <row r="33" spans="1:14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4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4">
      <c r="A35" s="54"/>
      <c r="B35" s="57"/>
      <c r="C35" s="57"/>
      <c r="D35" s="57"/>
      <c r="E35" s="206"/>
      <c r="F35" s="54"/>
      <c r="G35" s="57"/>
      <c r="H35" s="57"/>
      <c r="I35" s="57"/>
      <c r="J35" s="206"/>
      <c r="N35" s="256">
        <v>3</v>
      </c>
    </row>
    <row r="36" spans="1:14">
      <c r="A36" s="54"/>
      <c r="B36" s="57"/>
      <c r="C36" s="57"/>
      <c r="D36" s="57"/>
      <c r="E36" s="206"/>
      <c r="F36" s="54"/>
      <c r="G36" s="57"/>
      <c r="H36" s="57"/>
      <c r="I36" s="57"/>
      <c r="J36" s="206"/>
      <c r="N36" s="319">
        <v>5</v>
      </c>
    </row>
    <row r="37" spans="1:14">
      <c r="A37" s="245" t="s">
        <v>236</v>
      </c>
      <c r="B37" s="246"/>
      <c r="C37" s="246"/>
      <c r="D37" s="246"/>
      <c r="E37" s="247">
        <f>E32+E28+E21+E18</f>
        <v>1.7755645860540312</v>
      </c>
      <c r="F37" s="245" t="s">
        <v>208</v>
      </c>
      <c r="G37" s="246"/>
      <c r="H37" s="246"/>
      <c r="I37" s="225"/>
      <c r="J37" s="236">
        <f>J32+J22</f>
        <v>2.7222125321626831</v>
      </c>
      <c r="N37" s="256">
        <v>4.8</v>
      </c>
    </row>
    <row r="38" spans="1:14">
      <c r="A38" s="248"/>
      <c r="B38" s="240"/>
      <c r="C38" s="240"/>
      <c r="D38" s="240"/>
      <c r="E38" s="249"/>
      <c r="F38" s="239">
        <f>E37+J37+(E37+J37)*E39</f>
        <v>5.3973325418600568</v>
      </c>
      <c r="G38" s="240"/>
      <c r="H38" s="240"/>
      <c r="I38" s="21"/>
      <c r="J38" s="226"/>
      <c r="N38" s="256">
        <v>4.9000000000000004</v>
      </c>
    </row>
    <row r="39" spans="1:14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4">
      <c r="A40" s="250" t="s">
        <v>210</v>
      </c>
      <c r="B40" s="240"/>
      <c r="C40" s="240"/>
      <c r="D40" s="240"/>
      <c r="E40" s="251">
        <f>SUM(E43:E46)</f>
        <v>0.32383995251160341</v>
      </c>
      <c r="F40" s="240"/>
      <c r="G40" s="240"/>
      <c r="H40" s="240"/>
      <c r="I40" s="21"/>
      <c r="J40" s="21"/>
    </row>
    <row r="41" spans="1:14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4" ht="15.75" thickBot="1">
      <c r="A42" s="250" t="s">
        <v>211</v>
      </c>
      <c r="B42" s="240"/>
      <c r="C42" s="240"/>
      <c r="D42" s="240"/>
      <c r="E42" s="266">
        <f>F38+E40</f>
        <v>5.7211724943716602</v>
      </c>
      <c r="F42" s="240"/>
      <c r="G42" s="240"/>
      <c r="H42" s="240"/>
      <c r="I42" s="21"/>
      <c r="J42" s="21"/>
    </row>
    <row r="43" spans="1:14">
      <c r="A43" s="281" t="s">
        <v>76</v>
      </c>
      <c r="B43" s="282">
        <v>0</v>
      </c>
      <c r="C43" s="281"/>
      <c r="D43" s="281"/>
      <c r="E43" s="283">
        <f>F38*B43</f>
        <v>0</v>
      </c>
      <c r="F43" s="281"/>
      <c r="G43" s="240"/>
      <c r="H43" s="240"/>
      <c r="I43" s="240"/>
      <c r="J43" s="21"/>
    </row>
    <row r="44" spans="1:14">
      <c r="A44" s="281" t="s">
        <v>77</v>
      </c>
      <c r="B44" s="282">
        <v>0</v>
      </c>
      <c r="C44" s="281"/>
      <c r="D44" s="281"/>
      <c r="E44" s="283">
        <v>0</v>
      </c>
      <c r="F44" s="281"/>
      <c r="G44" s="240"/>
      <c r="H44" s="240"/>
      <c r="I44" s="255"/>
      <c r="J44" s="21"/>
    </row>
    <row r="45" spans="1:14">
      <c r="A45" s="281" t="s">
        <v>78</v>
      </c>
      <c r="B45" s="282">
        <v>0.02</v>
      </c>
      <c r="C45" s="281"/>
      <c r="D45" s="281"/>
      <c r="E45" s="283">
        <f>F38*B45</f>
        <v>0.10794665083720113</v>
      </c>
      <c r="F45" s="281"/>
      <c r="G45" s="240"/>
      <c r="H45" s="240"/>
      <c r="I45" s="240"/>
      <c r="J45" s="21"/>
    </row>
    <row r="46" spans="1:14">
      <c r="A46" s="281" t="s">
        <v>22</v>
      </c>
      <c r="B46" s="284">
        <v>0.04</v>
      </c>
      <c r="C46" s="281"/>
      <c r="D46" s="281"/>
      <c r="E46" s="285">
        <f>F38*B46</f>
        <v>0.21589330167440227</v>
      </c>
      <c r="F46" s="281"/>
      <c r="G46" s="240"/>
      <c r="H46" s="240"/>
      <c r="I46" s="240"/>
      <c r="J46" s="21"/>
    </row>
    <row r="47" spans="1:14">
      <c r="A47" s="281"/>
      <c r="B47" s="281"/>
      <c r="C47" s="281"/>
      <c r="D47" s="281"/>
      <c r="E47" s="281"/>
      <c r="F47" s="281"/>
      <c r="G47" s="240"/>
      <c r="H47" s="240"/>
      <c r="I47" s="240"/>
      <c r="J47" s="21"/>
    </row>
    <row r="48" spans="1:14">
      <c r="A48" s="291"/>
      <c r="B48" s="291"/>
      <c r="C48" s="291"/>
      <c r="D48" s="291"/>
      <c r="E48" s="291"/>
      <c r="F48" s="291"/>
      <c r="G48" s="257"/>
      <c r="H48" s="257"/>
      <c r="I48" s="257"/>
    </row>
    <row r="49" spans="1:9">
      <c r="A49" s="291"/>
      <c r="B49" s="291"/>
      <c r="C49" s="291"/>
      <c r="D49" s="291"/>
      <c r="E49" s="291"/>
      <c r="F49" s="291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8"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8"/>
  <sheetViews>
    <sheetView topLeftCell="A10" workbookViewId="0">
      <selection activeCell="N17" sqref="N17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C4" s="329" t="s">
        <v>251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G5" s="267">
        <v>77.040000000000006</v>
      </c>
      <c r="H5" s="49"/>
      <c r="I5" s="49"/>
      <c r="J5" s="49"/>
      <c r="K5" s="21">
        <f>G5*21</f>
        <v>1617.8400000000001</v>
      </c>
    </row>
    <row r="6" spans="1:11">
      <c r="A6" s="21" t="s">
        <v>162</v>
      </c>
      <c r="B6" s="335" t="s">
        <v>224</v>
      </c>
      <c r="C6" s="335"/>
      <c r="D6" s="335"/>
      <c r="E6" s="335"/>
      <c r="F6" s="335"/>
      <c r="G6" s="335"/>
    </row>
    <row r="7" spans="1:11">
      <c r="A7" s="21" t="s">
        <v>164</v>
      </c>
      <c r="E7" s="200"/>
      <c r="G7" s="260">
        <v>244</v>
      </c>
    </row>
    <row r="8" spans="1:11">
      <c r="A8" s="21" t="s">
        <v>165</v>
      </c>
      <c r="F8" s="200"/>
      <c r="G8" s="260">
        <v>12</v>
      </c>
    </row>
    <row r="9" spans="1:11">
      <c r="A9" s="21" t="s">
        <v>166</v>
      </c>
      <c r="G9" s="260">
        <v>21</v>
      </c>
    </row>
    <row r="10" spans="1:11">
      <c r="A10" s="21" t="s">
        <v>167</v>
      </c>
      <c r="G10" s="274">
        <v>19</v>
      </c>
    </row>
    <row r="11" spans="1:11">
      <c r="A11" s="21" t="s">
        <v>169</v>
      </c>
      <c r="B11" s="265"/>
      <c r="C11" s="267" t="s">
        <v>267</v>
      </c>
      <c r="D11" s="267"/>
      <c r="E11" s="267"/>
      <c r="F11" s="267"/>
      <c r="G11" s="267"/>
      <c r="H11" s="265"/>
    </row>
    <row r="12" spans="1:11">
      <c r="C12" s="265"/>
      <c r="D12" s="265"/>
      <c r="E12" s="265"/>
      <c r="F12" s="265"/>
      <c r="G12" s="265"/>
      <c r="H12" s="265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40" t="s">
        <v>265</v>
      </c>
      <c r="B16" s="341"/>
      <c r="C16" s="341"/>
      <c r="D16" s="341"/>
      <c r="E16" s="261">
        <f>'Comb, lub, Man'!K5</f>
        <v>6.7933333333333339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0">
      <c r="A17" s="262" t="s">
        <v>172</v>
      </c>
      <c r="B17" s="263"/>
      <c r="C17" s="263"/>
      <c r="D17" s="263"/>
      <c r="E17" s="261">
        <f>'Comb, lub, Man'!K6</f>
        <v>8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0">
      <c r="A18" s="262" t="s">
        <v>226</v>
      </c>
      <c r="B18" s="263"/>
      <c r="C18" s="263"/>
      <c r="D18" s="263"/>
      <c r="E18" s="264">
        <f>'Comb, lub, Man'!K7</f>
        <v>0.84916666666666674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' Pessoal'!H68</f>
        <v>3224.3678247995022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1.9930078529394142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depre'!H22</f>
        <v>362.66666666666669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58">
        <f>'Admin, depre'!J24</f>
        <v>4</v>
      </c>
      <c r="F25" s="218" t="s">
        <v>200</v>
      </c>
      <c r="G25" s="57"/>
      <c r="H25" s="57"/>
      <c r="I25" s="57"/>
      <c r="J25" s="219">
        <f>'Admin, depre'!H7</f>
        <v>810.3</v>
      </c>
    </row>
    <row r="26" spans="1:10">
      <c r="A26" s="218" t="s">
        <v>180</v>
      </c>
      <c r="B26" s="57"/>
      <c r="C26" s="57"/>
      <c r="D26" s="57"/>
      <c r="E26" s="212">
        <f>'Admin, depre'!H23</f>
        <v>0</v>
      </c>
      <c r="F26" s="218" t="s">
        <v>201</v>
      </c>
      <c r="G26" s="57"/>
      <c r="H26" s="57"/>
      <c r="I26" s="57"/>
      <c r="J26" s="219">
        <f>'Admin, depre'!H6</f>
        <v>66.7</v>
      </c>
    </row>
    <row r="27" spans="1:10">
      <c r="A27" s="218" t="s">
        <v>179</v>
      </c>
      <c r="B27" s="57"/>
      <c r="C27" s="57"/>
      <c r="D27" s="57"/>
      <c r="E27" s="224">
        <f>'Admin, depre'!G21</f>
        <v>30000</v>
      </c>
      <c r="F27" s="218" t="s">
        <v>206</v>
      </c>
      <c r="G27" s="57"/>
      <c r="H27" s="57"/>
      <c r="I27" s="57"/>
      <c r="J27" s="219">
        <f>'Admin, depre'!H9</f>
        <v>127.84</v>
      </c>
    </row>
    <row r="28" spans="1:10">
      <c r="A28" s="218" t="s">
        <v>181</v>
      </c>
      <c r="B28" s="57"/>
      <c r="C28" s="57"/>
      <c r="D28" s="57"/>
      <c r="E28" s="215">
        <f>'Admin, depre'!H27</f>
        <v>4.8355555555555561E-2</v>
      </c>
      <c r="F28" s="218" t="s">
        <v>207</v>
      </c>
      <c r="G28" s="57"/>
      <c r="H28" s="57"/>
      <c r="I28" s="57"/>
      <c r="J28" s="219">
        <f>'Admin, depre'!H10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depre'!H11</f>
        <v>980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E32*K5</f>
        <v>224.18299999999999</v>
      </c>
      <c r="F31" s="218" t="s">
        <v>204</v>
      </c>
      <c r="G31" s="57"/>
      <c r="H31" s="57"/>
      <c r="I31" s="57"/>
      <c r="J31" s="219">
        <f>SUM(J25:J30)/10</f>
        <v>648.81799999999998</v>
      </c>
    </row>
    <row r="32" spans="1:10">
      <c r="A32" s="218" t="s">
        <v>183</v>
      </c>
      <c r="B32" s="57"/>
      <c r="C32" s="57"/>
      <c r="D32" s="57"/>
      <c r="E32" s="215">
        <f>(0.0083*'Admin, depre'!H5)/(K5)</f>
        <v>0.13856932700390642</v>
      </c>
      <c r="F32" s="218" t="s">
        <v>205</v>
      </c>
      <c r="G32" s="57"/>
      <c r="H32" s="57"/>
      <c r="I32" s="57"/>
      <c r="J32" s="223">
        <f>J31/(K5)</f>
        <v>0.40103965781535872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8" t="s">
        <v>236</v>
      </c>
      <c r="B37" s="339"/>
      <c r="C37" s="339"/>
      <c r="D37" s="225"/>
      <c r="E37" s="237">
        <f>E32+E28+E21+E18</f>
        <v>1.2772582158927954</v>
      </c>
      <c r="F37" s="243" t="s">
        <v>208</v>
      </c>
      <c r="G37" s="225"/>
      <c r="H37" s="225"/>
      <c r="I37" s="225"/>
      <c r="J37" s="236">
        <f>J32+J22</f>
        <v>2.3940475107547727</v>
      </c>
    </row>
    <row r="38" spans="1:10">
      <c r="A38" s="27"/>
      <c r="E38" s="226"/>
      <c r="F38" s="239">
        <f>E37+J37+(E37+J37)*E39</f>
        <v>4.405566871977082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0.26433401231862491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211</v>
      </c>
      <c r="D42" s="240"/>
      <c r="E42" s="268">
        <f>F38+E40</f>
        <v>4.669900884295707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8.8111337439541637E-2</v>
      </c>
      <c r="F45" s="281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0.17622267487908327</v>
      </c>
      <c r="F46" s="281"/>
      <c r="G46" s="240"/>
    </row>
    <row r="47" spans="1:10">
      <c r="A47" s="281"/>
      <c r="B47" s="281"/>
      <c r="C47" s="281"/>
      <c r="D47" s="281"/>
      <c r="E47" s="281"/>
      <c r="F47" s="281"/>
      <c r="G47" s="240"/>
    </row>
    <row r="48" spans="1:10">
      <c r="E48" s="240"/>
    </row>
  </sheetData>
  <mergeCells count="8">
    <mergeCell ref="A37:C37"/>
    <mergeCell ref="A15:B15"/>
    <mergeCell ref="A16:D16"/>
    <mergeCell ref="A1:J2"/>
    <mergeCell ref="C4:J4"/>
    <mergeCell ref="B6:G6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50"/>
  <sheetViews>
    <sheetView topLeftCell="A10" workbookViewId="0">
      <selection activeCell="K34" sqref="K34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266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83.3</v>
      </c>
      <c r="H5" s="49"/>
      <c r="I5" s="49"/>
      <c r="J5" s="49"/>
      <c r="K5" s="256">
        <f>G5*21</f>
        <v>1749.3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32</v>
      </c>
      <c r="H10" s="21"/>
      <c r="I10" s="21"/>
      <c r="J10" s="21"/>
    </row>
    <row r="11" spans="1:11">
      <c r="A11" s="21" t="s">
        <v>169</v>
      </c>
      <c r="B11" s="21"/>
      <c r="C11" s="334" t="s">
        <v>257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265</v>
      </c>
      <c r="B16" s="331"/>
      <c r="C16" s="331"/>
      <c r="D16" s="331"/>
      <c r="E16" s="212">
        <f>'Comb, lub, Man'!K5</f>
        <v>6.7933333333333339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f>'Comb, lub, Man'!K6</f>
        <v>8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263</v>
      </c>
      <c r="B18" s="57"/>
      <c r="C18" s="57"/>
      <c r="D18" s="57"/>
      <c r="E18" s="215">
        <f>'Comb, lub, Man'!K7</f>
        <v>0.84916666666666674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Man'!K21</f>
        <v>0.33966666666666673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1.8432331931626948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depre'!H22</f>
        <v>362.66666666666669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f>'Admin, depre'!J24</f>
        <v>4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v>0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depre'!G21</f>
        <v>30000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depre'!H27</f>
        <v>4.8355555555555561E-2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349.86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0.27548047790544794</v>
      </c>
      <c r="F32" s="218" t="s">
        <v>205</v>
      </c>
      <c r="G32" s="57"/>
      <c r="H32" s="57"/>
      <c r="I32" s="57"/>
      <c r="J32" s="223">
        <f>J31/(K5)</f>
        <v>0.43322929171668667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6" t="s">
        <v>236</v>
      </c>
      <c r="B37" s="337"/>
      <c r="C37" s="337"/>
      <c r="D37" s="246"/>
      <c r="E37" s="247">
        <f>E32+E28+E21+E18</f>
        <v>1.5126693667943369</v>
      </c>
      <c r="F37" s="245" t="s">
        <v>208</v>
      </c>
      <c r="G37" s="246"/>
      <c r="H37" s="246"/>
      <c r="I37" s="225"/>
      <c r="J37" s="236">
        <f>J32+J22</f>
        <v>2.2764624848793815</v>
      </c>
    </row>
    <row r="38" spans="1:10">
      <c r="A38" s="248"/>
      <c r="B38" s="240"/>
      <c r="C38" s="240"/>
      <c r="D38" s="240"/>
      <c r="E38" s="249"/>
      <c r="F38" s="239">
        <f>E37+J37+(E37+J37)*E39</f>
        <v>4.5469582220084623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0.27281749332050775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211</v>
      </c>
      <c r="B42" s="240"/>
      <c r="C42" s="240"/>
      <c r="D42" s="240"/>
      <c r="E42" s="266">
        <f>F38+E40</f>
        <v>4.8197757153289702</v>
      </c>
      <c r="F42" s="240"/>
      <c r="G42" s="240"/>
      <c r="H42" s="240"/>
      <c r="I42" s="21"/>
      <c r="J42" s="21"/>
    </row>
    <row r="43" spans="1:10">
      <c r="A43" s="281" t="s">
        <v>76</v>
      </c>
      <c r="B43" s="282">
        <v>0</v>
      </c>
      <c r="C43" s="281"/>
      <c r="D43" s="281"/>
      <c r="E43" s="283">
        <f>F38*B43</f>
        <v>0</v>
      </c>
      <c r="F43" s="281"/>
      <c r="G43" s="240"/>
      <c r="H43" s="240"/>
      <c r="I43" s="240"/>
      <c r="J43" s="21"/>
    </row>
    <row r="44" spans="1:10">
      <c r="A44" s="281" t="s">
        <v>77</v>
      </c>
      <c r="B44" s="282">
        <v>0</v>
      </c>
      <c r="C44" s="281"/>
      <c r="D44" s="281"/>
      <c r="E44" s="283">
        <v>0</v>
      </c>
      <c r="F44" s="281"/>
      <c r="G44" s="240"/>
      <c r="H44" s="240"/>
      <c r="I44" s="255"/>
      <c r="J44" s="21"/>
    </row>
    <row r="45" spans="1:10">
      <c r="A45" s="281" t="s">
        <v>78</v>
      </c>
      <c r="B45" s="282">
        <v>0.02</v>
      </c>
      <c r="C45" s="281"/>
      <c r="D45" s="281"/>
      <c r="E45" s="283">
        <f>F38*B45</f>
        <v>9.0939164440169251E-2</v>
      </c>
      <c r="F45" s="281"/>
      <c r="G45" s="240"/>
      <c r="H45" s="240"/>
      <c r="I45" s="240"/>
      <c r="J45" s="21"/>
    </row>
    <row r="46" spans="1:10">
      <c r="A46" s="281" t="s">
        <v>22</v>
      </c>
      <c r="B46" s="284">
        <v>0.04</v>
      </c>
      <c r="C46" s="281"/>
      <c r="D46" s="281"/>
      <c r="E46" s="285">
        <f>F38*B46</f>
        <v>0.1818783288803385</v>
      </c>
      <c r="F46" s="281"/>
      <c r="G46" s="240"/>
      <c r="H46" s="240"/>
      <c r="I46" s="240"/>
      <c r="J46" s="21"/>
    </row>
    <row r="47" spans="1:10">
      <c r="A47" s="240"/>
      <c r="B47" s="240"/>
      <c r="C47" s="240"/>
      <c r="D47" s="240"/>
      <c r="E47" s="240"/>
      <c r="F47" s="240"/>
      <c r="G47" s="240"/>
      <c r="H47" s="240"/>
      <c r="I47" s="240"/>
      <c r="J47" s="21"/>
    </row>
    <row r="48" spans="1:10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8"/>
  <sheetViews>
    <sheetView topLeftCell="A13" workbookViewId="0">
      <selection activeCell="G10" sqref="G10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C4" s="329" t="s">
        <v>229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G5" s="267">
        <v>71.5</v>
      </c>
      <c r="H5" s="49"/>
      <c r="I5" s="49"/>
      <c r="J5" s="49"/>
      <c r="K5" s="21">
        <f>G5*21</f>
        <v>1501.5</v>
      </c>
    </row>
    <row r="6" spans="1:11">
      <c r="A6" s="21" t="s">
        <v>162</v>
      </c>
      <c r="B6" s="335" t="s">
        <v>228</v>
      </c>
      <c r="C6" s="335"/>
      <c r="D6" s="335"/>
      <c r="E6" s="335"/>
      <c r="F6" s="335"/>
      <c r="G6" s="335"/>
    </row>
    <row r="7" spans="1:11">
      <c r="A7" s="21" t="s">
        <v>164</v>
      </c>
      <c r="E7" s="200"/>
      <c r="G7" s="260">
        <v>244</v>
      </c>
    </row>
    <row r="8" spans="1:11">
      <c r="A8" s="21" t="s">
        <v>165</v>
      </c>
      <c r="F8" s="200"/>
      <c r="G8" s="260">
        <v>12</v>
      </c>
    </row>
    <row r="9" spans="1:11">
      <c r="A9" s="21" t="s">
        <v>166</v>
      </c>
      <c r="G9" s="260">
        <v>21</v>
      </c>
    </row>
    <row r="10" spans="1:11">
      <c r="A10" s="21" t="s">
        <v>167</v>
      </c>
      <c r="G10" s="274">
        <v>20</v>
      </c>
    </row>
    <row r="11" spans="1:11">
      <c r="A11" s="21" t="s">
        <v>169</v>
      </c>
      <c r="C11" s="334" t="s">
        <v>170</v>
      </c>
      <c r="D11" s="334"/>
      <c r="E11" s="334"/>
      <c r="F11" s="334"/>
      <c r="G11" s="334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1">
        <f>'Comb, lub, Man'!I5</f>
        <v>4.8233333333333333</v>
      </c>
      <c r="F16" s="218" t="s">
        <v>189</v>
      </c>
      <c r="G16" s="57"/>
      <c r="H16" s="57"/>
      <c r="I16" s="57"/>
      <c r="J16" s="213">
        <f>' Pessoal'!D10</f>
        <v>2595.1799999999998</v>
      </c>
    </row>
    <row r="17" spans="1:10">
      <c r="A17" s="218" t="s">
        <v>172</v>
      </c>
      <c r="B17" s="57"/>
      <c r="C17" s="57"/>
      <c r="D17" s="57"/>
      <c r="E17" s="211">
        <f>'Comb, lub, Man'!I6</f>
        <v>3</v>
      </c>
      <c r="F17" s="218" t="s">
        <v>190</v>
      </c>
      <c r="G17" s="57"/>
      <c r="H17" s="57"/>
      <c r="I17" s="57"/>
      <c r="J17" s="211">
        <f>' Pessoal'!F64</f>
        <v>504.50299199999995</v>
      </c>
    </row>
    <row r="18" spans="1:10">
      <c r="A18" s="218" t="s">
        <v>173</v>
      </c>
      <c r="B18" s="57"/>
      <c r="C18" s="57"/>
      <c r="D18" s="57"/>
      <c r="E18" s="215">
        <f>'Comb, lub, Man'!I7</f>
        <v>1.6077777777777778</v>
      </c>
      <c r="F18" s="218" t="s">
        <v>191</v>
      </c>
      <c r="G18" s="57"/>
      <c r="H18" s="57"/>
      <c r="I18" s="57"/>
      <c r="J18" s="211">
        <f>' Pessoal'!F65</f>
        <v>960.90172751999989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Pessoal'!F66</f>
        <v>515.64839517176961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Pessoal'!F67</f>
        <v>46.012127406036818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4622.2452420978061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3.0784184096555487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depre'!D22</f>
        <v>2002.7633333333333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depre'!D7</f>
        <v>850.76</v>
      </c>
    </row>
    <row r="26" spans="1:10">
      <c r="A26" s="218" t="s">
        <v>180</v>
      </c>
      <c r="B26" s="57"/>
      <c r="C26" s="57"/>
      <c r="D26" s="57"/>
      <c r="E26" s="212">
        <f>'Admin, depre'!D23</f>
        <v>726.33333333333337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depre'!C21</f>
        <v>89000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depre'!D27</f>
        <v>0.2329503370786517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depre'!D11</f>
        <v>4400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300.3</v>
      </c>
      <c r="F31" s="218" t="s">
        <v>204</v>
      </c>
      <c r="G31" s="57"/>
      <c r="H31" s="57"/>
      <c r="I31" s="57"/>
      <c r="J31" s="219">
        <f>SUM(J25:J30)/10</f>
        <v>994.86399999999992</v>
      </c>
    </row>
    <row r="32" spans="1:10">
      <c r="A32" s="218" t="s">
        <v>183</v>
      </c>
      <c r="B32" s="57"/>
      <c r="C32" s="57"/>
      <c r="D32" s="57"/>
      <c r="E32" s="215">
        <f>(0.0083*'Admin, depre'!D5)/(K5)</f>
        <v>0.47028358308358309</v>
      </c>
      <c r="F32" s="218" t="s">
        <v>205</v>
      </c>
      <c r="G32" s="57"/>
      <c r="H32" s="57"/>
      <c r="I32" s="57"/>
      <c r="J32" s="223">
        <f>J31/(K5)</f>
        <v>0.66258008658008649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8" t="s">
        <v>236</v>
      </c>
      <c r="B37" s="339"/>
      <c r="C37" s="339"/>
      <c r="D37" s="225"/>
      <c r="E37" s="237">
        <f>E32+E28+E21+E18</f>
        <v>2.5521783646066791</v>
      </c>
      <c r="F37" s="243" t="s">
        <v>208</v>
      </c>
      <c r="G37" s="225"/>
      <c r="H37" s="225"/>
      <c r="I37" s="225"/>
      <c r="J37" s="236">
        <f>J32+J22</f>
        <v>3.7409984962356351</v>
      </c>
    </row>
    <row r="38" spans="1:10">
      <c r="A38" s="27"/>
      <c r="E38" s="226"/>
      <c r="F38" s="239">
        <f>E37+J37+(E37+J37)*E39</f>
        <v>7.5518122330107769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0.45310873398064661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211</v>
      </c>
      <c r="D42" s="240"/>
      <c r="E42" s="241">
        <f>F38+E40</f>
        <v>8.0049209669914241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0.15103624466021554</v>
      </c>
      <c r="F45" s="281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0.30207248932043107</v>
      </c>
      <c r="F46" s="281"/>
      <c r="G46" s="240"/>
    </row>
    <row r="47" spans="1:10">
      <c r="A47" s="281"/>
      <c r="B47" s="281"/>
      <c r="C47" s="281"/>
      <c r="D47" s="281"/>
      <c r="E47" s="281"/>
      <c r="F47" s="281"/>
      <c r="G47" s="240"/>
    </row>
    <row r="48" spans="1:10">
      <c r="E48" s="240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O9" sqref="O9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C4" s="329" t="s">
        <v>231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G5" s="267">
        <v>27.7</v>
      </c>
      <c r="H5" s="49"/>
      <c r="I5" s="49"/>
      <c r="J5" s="49"/>
      <c r="K5" s="21">
        <f>G5*21</f>
        <v>581.69999999999993</v>
      </c>
    </row>
    <row r="6" spans="1:11">
      <c r="A6" s="21" t="s">
        <v>162</v>
      </c>
      <c r="B6" s="335" t="s">
        <v>224</v>
      </c>
      <c r="C6" s="335"/>
      <c r="D6" s="335"/>
      <c r="E6" s="335"/>
      <c r="F6" s="335"/>
      <c r="G6" s="335"/>
    </row>
    <row r="7" spans="1:11">
      <c r="A7" s="21" t="s">
        <v>164</v>
      </c>
      <c r="E7" s="200"/>
      <c r="G7" s="260">
        <v>244</v>
      </c>
    </row>
    <row r="8" spans="1:11">
      <c r="A8" s="21" t="s">
        <v>165</v>
      </c>
      <c r="F8" s="200"/>
      <c r="G8" s="260">
        <v>12</v>
      </c>
    </row>
    <row r="9" spans="1:11">
      <c r="A9" s="21" t="s">
        <v>166</v>
      </c>
      <c r="G9" s="260">
        <v>21</v>
      </c>
    </row>
    <row r="10" spans="1:11">
      <c r="A10" s="21" t="s">
        <v>167</v>
      </c>
      <c r="G10" s="274">
        <v>16</v>
      </c>
    </row>
    <row r="11" spans="1:11">
      <c r="A11" s="21" t="s">
        <v>169</v>
      </c>
      <c r="B11" s="265"/>
      <c r="C11" s="267" t="s">
        <v>267</v>
      </c>
      <c r="D11" s="267"/>
      <c r="E11" s="267"/>
      <c r="F11" s="267"/>
      <c r="G11" s="267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42" t="s">
        <v>227</v>
      </c>
      <c r="B16" s="343"/>
      <c r="C16" s="343"/>
      <c r="D16" s="343"/>
      <c r="E16" s="261">
        <f>'Comb, lub, Man'!K5</f>
        <v>6.7933333333333339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0">
      <c r="A17" s="262" t="s">
        <v>172</v>
      </c>
      <c r="B17" s="263"/>
      <c r="C17" s="263"/>
      <c r="D17" s="263"/>
      <c r="E17" s="261">
        <f>'Comb, lub, Man'!K6</f>
        <v>8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0">
      <c r="A18" s="262" t="s">
        <v>226</v>
      </c>
      <c r="B18" s="263"/>
      <c r="C18" s="263"/>
      <c r="D18" s="263"/>
      <c r="E18" s="264">
        <f>'Comb, lub, Man'!K7</f>
        <v>0.84916666666666674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' Pessoal'!H68</f>
        <v>3224.3678247995022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5.5430081223990069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depre'!H22</f>
        <v>362.66666666666669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58">
        <f>'Admin, depre'!J24</f>
        <v>4</v>
      </c>
      <c r="F25" s="218" t="s">
        <v>200</v>
      </c>
      <c r="G25" s="57"/>
      <c r="H25" s="57"/>
      <c r="I25" s="57"/>
      <c r="J25" s="219">
        <f>'Admin, depre'!H7</f>
        <v>810.3</v>
      </c>
    </row>
    <row r="26" spans="1:10">
      <c r="A26" s="218" t="s">
        <v>180</v>
      </c>
      <c r="B26" s="57"/>
      <c r="C26" s="57"/>
      <c r="D26" s="57"/>
      <c r="E26" s="212">
        <f>'Admin, depre'!H23</f>
        <v>0</v>
      </c>
      <c r="F26" s="218" t="s">
        <v>201</v>
      </c>
      <c r="G26" s="57"/>
      <c r="H26" s="57"/>
      <c r="I26" s="57"/>
      <c r="J26" s="219">
        <f>'Admin, depre'!H6</f>
        <v>66.7</v>
      </c>
    </row>
    <row r="27" spans="1:10">
      <c r="A27" s="218" t="s">
        <v>179</v>
      </c>
      <c r="B27" s="57"/>
      <c r="C27" s="57"/>
      <c r="D27" s="57"/>
      <c r="E27" s="224">
        <f>'Admin, depre'!G21</f>
        <v>30000</v>
      </c>
      <c r="F27" s="218" t="s">
        <v>206</v>
      </c>
      <c r="G27" s="57"/>
      <c r="H27" s="57"/>
      <c r="I27" s="57"/>
      <c r="J27" s="219">
        <f>'Admin, depre'!H9</f>
        <v>127.84</v>
      </c>
    </row>
    <row r="28" spans="1:10">
      <c r="A28" s="218" t="s">
        <v>181</v>
      </c>
      <c r="B28" s="57"/>
      <c r="C28" s="57"/>
      <c r="D28" s="57"/>
      <c r="E28" s="215">
        <f>'Admin, depre'!H27</f>
        <v>4.8355555555555561E-2</v>
      </c>
      <c r="F28" s="218" t="s">
        <v>207</v>
      </c>
      <c r="G28" s="57"/>
      <c r="H28" s="57"/>
      <c r="I28" s="57"/>
      <c r="J28" s="219">
        <f>'Admin, depre'!H10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depre'!H11</f>
        <v>980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E32*K5</f>
        <v>224.18299999999999</v>
      </c>
      <c r="F31" s="218" t="s">
        <v>204</v>
      </c>
      <c r="G31" s="57"/>
      <c r="H31" s="57"/>
      <c r="I31" s="57"/>
      <c r="J31" s="219">
        <f>SUM(J25:J30)/10</f>
        <v>648.81799999999998</v>
      </c>
    </row>
    <row r="32" spans="1:10">
      <c r="A32" s="218" t="s">
        <v>183</v>
      </c>
      <c r="B32" s="57"/>
      <c r="C32" s="57"/>
      <c r="D32" s="57"/>
      <c r="E32" s="215">
        <f>(0.0083*'Admin, depre'!H5)/(K5)</f>
        <v>0.38539281416537735</v>
      </c>
      <c r="F32" s="218" t="s">
        <v>205</v>
      </c>
      <c r="G32" s="57"/>
      <c r="H32" s="57"/>
      <c r="I32" s="57"/>
      <c r="J32" s="223">
        <f>J31/(K5)</f>
        <v>1.1153824995702253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8" t="s">
        <v>236</v>
      </c>
      <c r="B37" s="339"/>
      <c r="C37" s="339"/>
      <c r="D37" s="339"/>
      <c r="E37" s="237">
        <f>E32+E28+E21+E18</f>
        <v>1.5240817030542662</v>
      </c>
      <c r="F37" s="243" t="s">
        <v>208</v>
      </c>
      <c r="G37" s="225"/>
      <c r="H37" s="225"/>
      <c r="I37" s="225"/>
      <c r="J37" s="236">
        <f>J32+J22</f>
        <v>6.6583906219692324</v>
      </c>
    </row>
    <row r="38" spans="1:10">
      <c r="A38" s="27"/>
      <c r="E38" s="226"/>
      <c r="F38" s="239">
        <f>E37+J37+(E37+J37)*E39</f>
        <v>9.8189667900281989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0.58913800740169198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211</v>
      </c>
      <c r="D42" s="240"/>
      <c r="E42" s="268">
        <f>F38+E40</f>
        <v>10.408104797429891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81"/>
      <c r="H43" s="281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81"/>
      <c r="H44" s="281"/>
    </row>
    <row r="45" spans="1:10">
      <c r="A45" s="281" t="s">
        <v>78</v>
      </c>
      <c r="B45" s="282">
        <v>0.02</v>
      </c>
      <c r="C45" s="281"/>
      <c r="D45" s="281"/>
      <c r="E45" s="283">
        <f>F38*B45</f>
        <v>0.19637933580056399</v>
      </c>
      <c r="F45" s="281"/>
      <c r="G45" s="281"/>
      <c r="H45" s="281"/>
    </row>
    <row r="46" spans="1:10">
      <c r="A46" s="281" t="s">
        <v>22</v>
      </c>
      <c r="B46" s="284">
        <v>0.04</v>
      </c>
      <c r="C46" s="281"/>
      <c r="D46" s="281"/>
      <c r="E46" s="285">
        <f>F38*B46</f>
        <v>0.39275867160112798</v>
      </c>
      <c r="F46" s="281"/>
      <c r="G46" s="281"/>
      <c r="H46" s="281"/>
    </row>
    <row r="47" spans="1:10">
      <c r="A47" s="281"/>
      <c r="B47" s="281"/>
      <c r="C47" s="281"/>
      <c r="D47" s="281"/>
      <c r="E47" s="281"/>
      <c r="F47" s="281"/>
      <c r="G47" s="281"/>
      <c r="H47" s="281"/>
    </row>
    <row r="48" spans="1:10">
      <c r="A48" s="281"/>
      <c r="B48" s="281"/>
      <c r="C48" s="281"/>
      <c r="D48" s="281"/>
      <c r="E48" s="281"/>
      <c r="F48" s="281"/>
      <c r="G48" s="281"/>
      <c r="H48" s="281"/>
    </row>
    <row r="49" spans="1:8">
      <c r="A49" s="281"/>
      <c r="B49" s="281"/>
      <c r="C49" s="281"/>
      <c r="D49" s="281"/>
      <c r="E49" s="281"/>
      <c r="F49" s="281"/>
      <c r="G49" s="281"/>
      <c r="H49" s="281"/>
    </row>
  </sheetData>
  <mergeCells count="8">
    <mergeCell ref="A37:D37"/>
    <mergeCell ref="A16:D16"/>
    <mergeCell ref="A1:J2"/>
    <mergeCell ref="C4:J4"/>
    <mergeCell ref="B6:G6"/>
    <mergeCell ref="A13:E13"/>
    <mergeCell ref="F13:J13"/>
    <mergeCell ref="A15:B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O6" sqref="O6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2" width="9.140625" style="21"/>
    <col min="13" max="13" width="13.28515625" style="21" bestFit="1" customWidth="1"/>
    <col min="14" max="16384" width="9.140625" style="21"/>
  </cols>
  <sheetData>
    <row r="1" spans="1:13">
      <c r="A1" s="320" t="s">
        <v>110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3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3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3">
      <c r="A4" s="21" t="s">
        <v>160</v>
      </c>
      <c r="C4" s="329" t="s">
        <v>233</v>
      </c>
      <c r="D4" s="329"/>
      <c r="E4" s="329"/>
      <c r="F4" s="329"/>
      <c r="G4" s="329"/>
      <c r="H4" s="329"/>
      <c r="I4" s="329"/>
      <c r="J4" s="329"/>
    </row>
    <row r="5" spans="1:13">
      <c r="A5" s="21" t="s">
        <v>232</v>
      </c>
      <c r="G5" s="267">
        <v>153.47</v>
      </c>
      <c r="H5" s="49"/>
      <c r="I5" s="49"/>
      <c r="J5" s="49"/>
      <c r="K5" s="21">
        <f>G5*21</f>
        <v>3222.87</v>
      </c>
    </row>
    <row r="6" spans="1:13">
      <c r="A6" s="21" t="s">
        <v>162</v>
      </c>
      <c r="B6" s="335" t="s">
        <v>234</v>
      </c>
      <c r="C6" s="335"/>
      <c r="D6" s="335"/>
      <c r="E6" s="335"/>
      <c r="F6" s="335"/>
      <c r="G6" s="335"/>
      <c r="M6" s="273">
        <f>K5*E42</f>
        <v>16577.869503867187</v>
      </c>
    </row>
    <row r="7" spans="1:13">
      <c r="A7" s="21" t="s">
        <v>164</v>
      </c>
      <c r="E7" s="200"/>
      <c r="G7" s="260">
        <v>244</v>
      </c>
    </row>
    <row r="8" spans="1:13">
      <c r="A8" s="21" t="s">
        <v>165</v>
      </c>
      <c r="F8" s="200"/>
      <c r="G8" s="260">
        <v>12</v>
      </c>
    </row>
    <row r="9" spans="1:13">
      <c r="A9" s="21" t="s">
        <v>166</v>
      </c>
      <c r="G9" s="260">
        <v>21</v>
      </c>
    </row>
    <row r="10" spans="1:13">
      <c r="A10" s="21" t="s">
        <v>167</v>
      </c>
      <c r="G10" s="269">
        <v>95</v>
      </c>
    </row>
    <row r="11" spans="1:13">
      <c r="A11" s="21" t="s">
        <v>169</v>
      </c>
      <c r="C11" s="334" t="s">
        <v>170</v>
      </c>
      <c r="D11" s="334"/>
      <c r="E11" s="334"/>
      <c r="F11" s="334"/>
      <c r="G11" s="334"/>
    </row>
    <row r="13" spans="1:13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3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3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3">
      <c r="A16" s="330" t="s">
        <v>171</v>
      </c>
      <c r="B16" s="331"/>
      <c r="C16" s="331"/>
      <c r="D16" s="331"/>
      <c r="E16" s="211">
        <f>'Comb, lub, Man'!I5</f>
        <v>4.8233333333333333</v>
      </c>
      <c r="F16" s="218" t="s">
        <v>189</v>
      </c>
      <c r="G16" s="57"/>
      <c r="H16" s="57"/>
      <c r="I16" s="57"/>
      <c r="J16" s="213">
        <f>' Pessoal'!D10</f>
        <v>2595.1799999999998</v>
      </c>
    </row>
    <row r="17" spans="1:10">
      <c r="A17" s="218" t="s">
        <v>172</v>
      </c>
      <c r="B17" s="57"/>
      <c r="C17" s="57"/>
      <c r="D17" s="57"/>
      <c r="E17" s="211">
        <f>'Comb, lub, Man'!I6</f>
        <v>3</v>
      </c>
      <c r="F17" s="218" t="s">
        <v>190</v>
      </c>
      <c r="G17" s="57"/>
      <c r="H17" s="57"/>
      <c r="I17" s="57"/>
      <c r="J17" s="211">
        <f>' Pessoal'!F64</f>
        <v>504.50299199999995</v>
      </c>
    </row>
    <row r="18" spans="1:10">
      <c r="A18" s="218" t="s">
        <v>173</v>
      </c>
      <c r="B18" s="57"/>
      <c r="C18" s="57"/>
      <c r="D18" s="57"/>
      <c r="E18" s="215">
        <f>'Comb, lub, Man'!I7</f>
        <v>1.6077777777777778</v>
      </c>
      <c r="F18" s="218" t="s">
        <v>191</v>
      </c>
      <c r="G18" s="57"/>
      <c r="H18" s="57"/>
      <c r="I18" s="57"/>
      <c r="J18" s="211">
        <f>' Pessoal'!F65</f>
        <v>960.90172751999989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Pessoal'!F66</f>
        <v>515.64839517176961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Pessoal'!F67</f>
        <v>46.012127406036818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4622.2452420978061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1.4342015787474538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depre'!D22</f>
        <v>2002.7633333333333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depre'!D7</f>
        <v>850.76</v>
      </c>
    </row>
    <row r="26" spans="1:10">
      <c r="A26" s="218" t="s">
        <v>180</v>
      </c>
      <c r="B26" s="57"/>
      <c r="C26" s="57"/>
      <c r="D26" s="57"/>
      <c r="E26" s="212">
        <f>'Admin, depre'!D23</f>
        <v>726.33333333333337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depre'!C21</f>
        <v>89000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depre'!D27</f>
        <v>0.2329503370786517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depre'!D11</f>
        <v>4400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644.57400000000007</v>
      </c>
      <c r="F31" s="218" t="s">
        <v>204</v>
      </c>
      <c r="G31" s="57"/>
      <c r="H31" s="57"/>
      <c r="I31" s="57"/>
      <c r="J31" s="219">
        <f>SUM(J25:J30)/10</f>
        <v>994.86399999999992</v>
      </c>
    </row>
    <row r="32" spans="1:10">
      <c r="A32" s="218" t="s">
        <v>183</v>
      </c>
      <c r="B32" s="57"/>
      <c r="C32" s="57"/>
      <c r="D32" s="57"/>
      <c r="E32" s="215">
        <f>(0.0083*'Admin, depre'!D5)/(K5)</f>
        <v>0.21909999472519837</v>
      </c>
      <c r="F32" s="218" t="s">
        <v>205</v>
      </c>
      <c r="G32" s="57"/>
      <c r="H32" s="57"/>
      <c r="I32" s="57"/>
      <c r="J32" s="223">
        <f>J31/(K5)</f>
        <v>0.30868883945055181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44" t="s">
        <v>236</v>
      </c>
      <c r="B37" s="345"/>
      <c r="C37" s="345"/>
      <c r="D37" s="225"/>
      <c r="E37" s="237">
        <f>E32+E28+E21+E18</f>
        <v>2.3009947762482943</v>
      </c>
      <c r="F37" s="243" t="s">
        <v>208</v>
      </c>
      <c r="G37" s="225"/>
      <c r="H37" s="225"/>
      <c r="I37" s="225"/>
      <c r="J37" s="236">
        <f>J32+J22</f>
        <v>1.7428904181980056</v>
      </c>
    </row>
    <row r="38" spans="1:10">
      <c r="A38" s="27"/>
      <c r="E38" s="226"/>
      <c r="F38" s="239">
        <f>E37+J37+(E37+J37)*E39</f>
        <v>4.8526622333355602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0.29115973400013362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211</v>
      </c>
      <c r="D42" s="240"/>
      <c r="E42" s="241">
        <f>F38+E40</f>
        <v>5.1438219673356942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9.7053244666711211E-2</v>
      </c>
      <c r="F45" s="281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0.19410648933342242</v>
      </c>
      <c r="F46" s="281"/>
      <c r="G46" s="240"/>
    </row>
    <row r="47" spans="1:10">
      <c r="A47" s="281"/>
      <c r="B47" s="281"/>
      <c r="C47" s="281"/>
      <c r="D47" s="281"/>
      <c r="E47" s="281"/>
      <c r="F47" s="281"/>
      <c r="G47" s="240"/>
    </row>
    <row r="48" spans="1:10">
      <c r="E48" s="240"/>
    </row>
  </sheetData>
  <mergeCells count="9">
    <mergeCell ref="A37:C37"/>
    <mergeCell ref="A16:D16"/>
    <mergeCell ref="C11:G11"/>
    <mergeCell ref="A1:J2"/>
    <mergeCell ref="C4:J4"/>
    <mergeCell ref="B6:G6"/>
    <mergeCell ref="A13:E13"/>
    <mergeCell ref="F13:J13"/>
    <mergeCell ref="A15:B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L10" sqref="L10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235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28.22</v>
      </c>
      <c r="H5" s="49"/>
      <c r="I5" s="49"/>
      <c r="J5" s="49"/>
      <c r="K5" s="256">
        <f>G5*21</f>
        <v>592.62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30</v>
      </c>
      <c r="H10" s="21"/>
      <c r="I10" s="21"/>
      <c r="J10" s="21"/>
    </row>
    <row r="11" spans="1:11">
      <c r="A11" s="21" t="s">
        <v>169</v>
      </c>
      <c r="B11" s="21"/>
      <c r="C11" s="334" t="s">
        <v>252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5.4408690641549429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118.524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0.81316526610644257</v>
      </c>
      <c r="F32" s="218" t="s">
        <v>205</v>
      </c>
      <c r="G32" s="57"/>
      <c r="H32" s="57"/>
      <c r="I32" s="57"/>
      <c r="J32" s="223">
        <f>J31/(K5)</f>
        <v>1.2788093550673281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5" t="s">
        <v>236</v>
      </c>
      <c r="B37" s="246"/>
      <c r="C37" s="246"/>
      <c r="D37" s="246"/>
      <c r="E37" s="247">
        <f>E32+E28+E21+E18</f>
        <v>2.259308034624961</v>
      </c>
      <c r="F37" s="245" t="s">
        <v>208</v>
      </c>
      <c r="G37" s="246"/>
      <c r="H37" s="246"/>
      <c r="I37" s="225"/>
      <c r="J37" s="236">
        <f>J32+J22</f>
        <v>6.7196784192222712</v>
      </c>
    </row>
    <row r="38" spans="1:10">
      <c r="A38" s="248"/>
      <c r="B38" s="240"/>
      <c r="C38" s="240"/>
      <c r="D38" s="240"/>
      <c r="E38" s="249"/>
      <c r="F38" s="239">
        <f>E37+J37+(E37+J37)*E39</f>
        <v>10.774783744616679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0.6464870246770007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211</v>
      </c>
      <c r="B42" s="240"/>
      <c r="C42" s="240"/>
      <c r="D42" s="240"/>
      <c r="E42" s="266">
        <f>F38+E40</f>
        <v>11.421270769293679</v>
      </c>
      <c r="F42" s="240"/>
      <c r="G42" s="240"/>
      <c r="H42" s="240"/>
      <c r="I42" s="21"/>
      <c r="J42" s="21"/>
    </row>
    <row r="43" spans="1:10">
      <c r="A43" s="286" t="s">
        <v>76</v>
      </c>
      <c r="B43" s="287">
        <v>0</v>
      </c>
      <c r="C43" s="286"/>
      <c r="D43" s="286"/>
      <c r="E43" s="288">
        <f>F38*B43</f>
        <v>0</v>
      </c>
      <c r="F43" s="286"/>
      <c r="G43" s="240"/>
      <c r="H43" s="240"/>
      <c r="I43" s="240"/>
      <c r="J43" s="21"/>
    </row>
    <row r="44" spans="1:10">
      <c r="A44" s="286" t="s">
        <v>77</v>
      </c>
      <c r="B44" s="287">
        <v>0</v>
      </c>
      <c r="C44" s="286"/>
      <c r="D44" s="286"/>
      <c r="E44" s="288">
        <v>0</v>
      </c>
      <c r="F44" s="286"/>
      <c r="G44" s="240"/>
      <c r="H44" s="240"/>
      <c r="I44" s="255"/>
      <c r="J44" s="21"/>
    </row>
    <row r="45" spans="1:10">
      <c r="A45" s="286" t="s">
        <v>78</v>
      </c>
      <c r="B45" s="287">
        <v>0.02</v>
      </c>
      <c r="C45" s="286"/>
      <c r="D45" s="286"/>
      <c r="E45" s="288">
        <f>F38*B45</f>
        <v>0.21549567489233357</v>
      </c>
      <c r="F45" s="286"/>
      <c r="G45" s="240"/>
      <c r="H45" s="240"/>
      <c r="I45" s="240"/>
      <c r="J45" s="21"/>
    </row>
    <row r="46" spans="1:10">
      <c r="A46" s="286" t="s">
        <v>22</v>
      </c>
      <c r="B46" s="289">
        <v>0.04</v>
      </c>
      <c r="C46" s="286"/>
      <c r="D46" s="286"/>
      <c r="E46" s="290">
        <f>F38*B46</f>
        <v>0.43099134978466713</v>
      </c>
      <c r="F46" s="286"/>
      <c r="G46" s="240"/>
      <c r="H46" s="240"/>
      <c r="I46" s="240"/>
      <c r="J46" s="21"/>
    </row>
    <row r="47" spans="1:10">
      <c r="A47" s="286"/>
      <c r="B47" s="286"/>
      <c r="C47" s="286"/>
      <c r="D47" s="286"/>
      <c r="E47" s="286"/>
      <c r="F47" s="286"/>
      <c r="G47" s="240"/>
      <c r="H47" s="240"/>
      <c r="I47" s="240"/>
      <c r="J47" s="21"/>
    </row>
    <row r="48" spans="1:10">
      <c r="A48" s="292"/>
      <c r="B48" s="292"/>
      <c r="C48" s="292"/>
      <c r="D48" s="292"/>
      <c r="E48" s="292"/>
      <c r="F48" s="292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8"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50"/>
  <sheetViews>
    <sheetView topLeftCell="A16" workbookViewId="0">
      <selection activeCell="L16" sqref="L16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237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73.19</v>
      </c>
      <c r="H5" s="49"/>
      <c r="I5" s="49"/>
      <c r="J5" s="49"/>
      <c r="K5" s="256">
        <f>G5*21</f>
        <v>1536.99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21</v>
      </c>
      <c r="H10" s="21"/>
      <c r="I10" s="21"/>
      <c r="J10" s="21"/>
    </row>
    <row r="11" spans="1:11">
      <c r="A11" s="21" t="s">
        <v>169</v>
      </c>
      <c r="B11" s="21"/>
      <c r="C11" s="334" t="s">
        <v>252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2.0978456755082999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307.39800000000002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0.31353359488350607</v>
      </c>
      <c r="F32" s="218" t="s">
        <v>205</v>
      </c>
      <c r="G32" s="57"/>
      <c r="H32" s="57"/>
      <c r="I32" s="57"/>
      <c r="J32" s="223">
        <f>J31/(K5)</f>
        <v>0.49307282415630549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5" t="s">
        <v>236</v>
      </c>
      <c r="B37" s="246"/>
      <c r="C37" s="246"/>
      <c r="D37" s="246"/>
      <c r="E37" s="247">
        <f>E32+E28+E21+E18</f>
        <v>1.7596763634020245</v>
      </c>
      <c r="F37" s="245" t="s">
        <v>208</v>
      </c>
      <c r="G37" s="246"/>
      <c r="H37" s="246"/>
      <c r="I37" s="225"/>
      <c r="J37" s="236">
        <f>J32+J22</f>
        <v>2.5909184996646055</v>
      </c>
    </row>
    <row r="38" spans="1:10">
      <c r="A38" s="248"/>
      <c r="B38" s="240"/>
      <c r="C38" s="240"/>
      <c r="D38" s="240"/>
      <c r="E38" s="249"/>
      <c r="F38" s="239">
        <f>E37+J37+(E37+J37)*E39</f>
        <v>5.2207138356799554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0.31324283014079735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211</v>
      </c>
      <c r="B42" s="240"/>
      <c r="C42" s="240"/>
      <c r="D42" s="240"/>
      <c r="E42" s="266">
        <f>F38+E40</f>
        <v>5.5339566658207531</v>
      </c>
      <c r="F42" s="240"/>
      <c r="G42" s="240"/>
      <c r="H42" s="240"/>
      <c r="I42" s="21"/>
      <c r="J42" s="21"/>
    </row>
    <row r="43" spans="1:10">
      <c r="A43" s="286" t="s">
        <v>76</v>
      </c>
      <c r="B43" s="287">
        <v>0</v>
      </c>
      <c r="C43" s="286"/>
      <c r="D43" s="286"/>
      <c r="E43" s="288">
        <f>F38*B43</f>
        <v>0</v>
      </c>
      <c r="F43" s="240"/>
      <c r="G43" s="240"/>
      <c r="H43" s="240"/>
      <c r="I43" s="240"/>
      <c r="J43" s="21"/>
    </row>
    <row r="44" spans="1:10">
      <c r="A44" s="286" t="s">
        <v>77</v>
      </c>
      <c r="B44" s="287">
        <v>0</v>
      </c>
      <c r="C44" s="286"/>
      <c r="D44" s="286"/>
      <c r="E44" s="288">
        <v>0</v>
      </c>
      <c r="F44" s="240"/>
      <c r="G44" s="240"/>
      <c r="H44" s="240"/>
      <c r="I44" s="255"/>
      <c r="J44" s="21"/>
    </row>
    <row r="45" spans="1:10">
      <c r="A45" s="286" t="s">
        <v>78</v>
      </c>
      <c r="B45" s="287">
        <v>0.02</v>
      </c>
      <c r="C45" s="286"/>
      <c r="D45" s="286"/>
      <c r="E45" s="288">
        <f>F38*B45</f>
        <v>0.10441427671359911</v>
      </c>
      <c r="F45" s="240"/>
      <c r="G45" s="240"/>
      <c r="H45" s="240"/>
      <c r="I45" s="240"/>
      <c r="J45" s="21"/>
    </row>
    <row r="46" spans="1:10">
      <c r="A46" s="286" t="s">
        <v>22</v>
      </c>
      <c r="B46" s="289">
        <v>0.04</v>
      </c>
      <c r="C46" s="286"/>
      <c r="D46" s="286"/>
      <c r="E46" s="290">
        <f>F38*B46</f>
        <v>0.20882855342719822</v>
      </c>
      <c r="F46" s="240"/>
      <c r="G46" s="240"/>
      <c r="H46" s="240"/>
      <c r="I46" s="240"/>
      <c r="J46" s="21"/>
    </row>
    <row r="47" spans="1:10">
      <c r="A47" s="240"/>
      <c r="B47" s="240"/>
      <c r="C47" s="240"/>
      <c r="D47" s="240"/>
      <c r="E47" s="240"/>
      <c r="F47" s="240"/>
      <c r="G47" s="240"/>
      <c r="H47" s="240"/>
      <c r="I47" s="240"/>
      <c r="J47" s="21"/>
    </row>
    <row r="48" spans="1:10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8"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83"/>
  <sheetViews>
    <sheetView topLeftCell="A3" workbookViewId="0">
      <pane ySplit="8" topLeftCell="A11" activePane="bottomLeft" state="frozen"/>
      <selection activeCell="A3" sqref="A3"/>
      <selection pane="bottomLeft" activeCell="G45" sqref="F45:G49"/>
    </sheetView>
  </sheetViews>
  <sheetFormatPr defaultRowHeight="15"/>
  <cols>
    <col min="1" max="1" width="7.85546875" style="21" customWidth="1"/>
    <col min="2" max="2" width="8.140625" style="21" customWidth="1"/>
    <col min="3" max="3" width="7.5703125" style="21" customWidth="1"/>
    <col min="4" max="4" width="12.85546875" style="21" customWidth="1"/>
    <col min="5" max="7" width="10.140625" style="21" customWidth="1"/>
    <col min="8" max="8" width="12.140625" style="21" bestFit="1" customWidth="1"/>
    <col min="9" max="9" width="11.42578125" style="21" bestFit="1" customWidth="1"/>
    <col min="10" max="10" width="10.5703125" style="21" customWidth="1"/>
    <col min="11" max="11" width="9.42578125" style="21" customWidth="1"/>
    <col min="12" max="12" width="10.7109375" style="21" customWidth="1"/>
    <col min="13" max="13" width="9.140625" style="21"/>
    <col min="14" max="14" width="9.85546875" style="21" customWidth="1"/>
    <col min="15" max="16" width="11.7109375" style="21" customWidth="1"/>
    <col min="17" max="17" width="11" style="21" customWidth="1"/>
    <col min="18" max="19" width="10.7109375" style="21" customWidth="1"/>
    <col min="20" max="20" width="10.42578125" style="21" customWidth="1"/>
    <col min="21" max="16384" width="9.140625" style="21"/>
  </cols>
  <sheetData>
    <row r="1" spans="1:20">
      <c r="A1" s="407" t="s">
        <v>111</v>
      </c>
      <c r="B1" s="408"/>
      <c r="C1" s="408"/>
      <c r="D1" s="408"/>
      <c r="E1" s="409"/>
      <c r="F1" s="407" t="s">
        <v>112</v>
      </c>
      <c r="G1" s="408"/>
      <c r="H1" s="408"/>
      <c r="I1" s="409"/>
    </row>
    <row r="2" spans="1:20">
      <c r="A2" s="375" t="s">
        <v>121</v>
      </c>
      <c r="B2" s="376"/>
      <c r="C2" s="376"/>
      <c r="D2" s="376"/>
      <c r="E2" s="354"/>
      <c r="F2" s="407" t="s">
        <v>4</v>
      </c>
      <c r="G2" s="408"/>
      <c r="H2" s="408"/>
      <c r="I2" s="409"/>
    </row>
    <row r="3" spans="1:20">
      <c r="A3" s="410"/>
      <c r="B3" s="410"/>
      <c r="C3" s="411"/>
      <c r="D3" s="5" t="s">
        <v>113</v>
      </c>
      <c r="E3" s="294" t="s">
        <v>114</v>
      </c>
      <c r="F3" s="3"/>
      <c r="G3" s="4"/>
      <c r="H3" s="5" t="s">
        <v>113</v>
      </c>
      <c r="I3" s="294" t="s">
        <v>114</v>
      </c>
    </row>
    <row r="4" spans="1:20" hidden="1">
      <c r="A4" s="412" t="s">
        <v>3</v>
      </c>
      <c r="B4" s="412"/>
      <c r="C4" s="412"/>
      <c r="D4" s="6">
        <v>2595.1799999999998</v>
      </c>
      <c r="E4" s="295">
        <v>0</v>
      </c>
      <c r="F4" s="15" t="s">
        <v>3</v>
      </c>
      <c r="G4" s="15"/>
      <c r="H4" s="6">
        <v>1799.53</v>
      </c>
      <c r="I4" s="295">
        <v>0</v>
      </c>
    </row>
    <row r="5" spans="1:20" hidden="1">
      <c r="A5" s="412" t="s">
        <v>6</v>
      </c>
      <c r="B5" s="412"/>
      <c r="C5" s="412"/>
      <c r="D5" s="7">
        <v>0</v>
      </c>
      <c r="E5" s="296">
        <v>0</v>
      </c>
      <c r="F5" s="15" t="s">
        <v>6</v>
      </c>
      <c r="G5" s="15"/>
      <c r="H5" s="7">
        <v>0</v>
      </c>
      <c r="I5" s="296">
        <v>0</v>
      </c>
    </row>
    <row r="6" spans="1:20" hidden="1">
      <c r="A6" s="412" t="s">
        <v>7</v>
      </c>
      <c r="B6" s="412"/>
      <c r="C6" s="412"/>
      <c r="D6" s="7">
        <v>0</v>
      </c>
      <c r="E6" s="296">
        <v>0</v>
      </c>
      <c r="F6" s="15" t="s">
        <v>7</v>
      </c>
      <c r="G6" s="15"/>
      <c r="H6" s="7">
        <v>0</v>
      </c>
      <c r="I6" s="296">
        <v>0</v>
      </c>
    </row>
    <row r="7" spans="1:20" hidden="1">
      <c r="A7" s="412" t="s">
        <v>8</v>
      </c>
      <c r="B7" s="412"/>
      <c r="C7" s="412"/>
      <c r="D7" s="7">
        <v>0</v>
      </c>
      <c r="E7" s="296">
        <v>0</v>
      </c>
      <c r="F7" s="15" t="s">
        <v>8</v>
      </c>
      <c r="G7" s="15"/>
      <c r="H7" s="7">
        <v>0</v>
      </c>
      <c r="I7" s="296">
        <v>0</v>
      </c>
    </row>
    <row r="8" spans="1:20" hidden="1">
      <c r="A8" s="412" t="s">
        <v>9</v>
      </c>
      <c r="B8" s="412"/>
      <c r="C8" s="412"/>
      <c r="D8" s="7">
        <v>0</v>
      </c>
      <c r="E8" s="296">
        <v>0</v>
      </c>
      <c r="F8" s="15" t="s">
        <v>9</v>
      </c>
      <c r="G8" s="15"/>
      <c r="H8" s="7">
        <v>0</v>
      </c>
      <c r="I8" s="296">
        <v>0</v>
      </c>
    </row>
    <row r="9" spans="1:20" hidden="1">
      <c r="A9" s="412" t="s">
        <v>10</v>
      </c>
      <c r="B9" s="412"/>
      <c r="C9" s="412"/>
      <c r="D9" s="7">
        <v>0</v>
      </c>
      <c r="E9" s="296">
        <v>0</v>
      </c>
      <c r="F9" s="15" t="s">
        <v>10</v>
      </c>
      <c r="G9" s="15"/>
      <c r="H9" s="7">
        <v>0</v>
      </c>
      <c r="I9" s="296">
        <v>0</v>
      </c>
    </row>
    <row r="10" spans="1:20">
      <c r="A10" s="383" t="s">
        <v>31</v>
      </c>
      <c r="B10" s="383"/>
      <c r="C10" s="383"/>
      <c r="D10" s="9">
        <f>SUM(D4:D9)</f>
        <v>2595.1799999999998</v>
      </c>
      <c r="E10" s="297">
        <f>SUM(E4:E9)</f>
        <v>0</v>
      </c>
      <c r="F10" s="346" t="s">
        <v>11</v>
      </c>
      <c r="G10" s="348"/>
      <c r="H10" s="9">
        <f>SUM(H4:H9)</f>
        <v>1799.53</v>
      </c>
      <c r="I10" s="297">
        <f>SUM(I4:I9)</f>
        <v>0</v>
      </c>
    </row>
    <row r="11" spans="1:20">
      <c r="K11" s="418" t="s">
        <v>29</v>
      </c>
      <c r="L11" s="419"/>
      <c r="M11" s="419"/>
      <c r="N11" s="419"/>
      <c r="O11" s="419"/>
      <c r="P11" s="419"/>
      <c r="Q11" s="419"/>
      <c r="R11" s="419"/>
      <c r="S11" s="419"/>
      <c r="T11" s="70"/>
    </row>
    <row r="12" spans="1:20">
      <c r="A12" s="375" t="s">
        <v>50</v>
      </c>
      <c r="B12" s="376"/>
      <c r="C12" s="376"/>
      <c r="D12" s="354"/>
      <c r="E12" s="10" t="s">
        <v>116</v>
      </c>
      <c r="F12" s="11" t="s">
        <v>124</v>
      </c>
      <c r="J12" s="49"/>
      <c r="K12" s="428"/>
      <c r="L12" s="429"/>
      <c r="M12" s="429"/>
      <c r="N12" s="429"/>
      <c r="O12" s="429"/>
      <c r="P12" s="429"/>
      <c r="Q12" s="429"/>
      <c r="R12" s="429"/>
      <c r="S12" s="429"/>
      <c r="T12" s="53"/>
    </row>
    <row r="13" spans="1:20">
      <c r="A13" s="383" t="s">
        <v>12</v>
      </c>
      <c r="B13" s="383"/>
      <c r="C13" s="383"/>
      <c r="D13" s="383"/>
      <c r="E13" s="293">
        <f>6.6*2*21</f>
        <v>277.2</v>
      </c>
      <c r="F13" s="293">
        <f>E13*0.06</f>
        <v>16.631999999999998</v>
      </c>
      <c r="H13" s="71"/>
      <c r="K13" s="50"/>
      <c r="L13" s="165" t="s">
        <v>107</v>
      </c>
      <c r="M13" s="166"/>
      <c r="N13" s="166"/>
      <c r="O13" s="52"/>
      <c r="P13" s="52"/>
      <c r="Q13" s="52"/>
      <c r="R13" s="52"/>
      <c r="S13" s="52"/>
      <c r="T13" s="53"/>
    </row>
    <row r="14" spans="1:20">
      <c r="A14" s="20" t="s">
        <v>13</v>
      </c>
      <c r="B14" s="20"/>
      <c r="C14" s="20"/>
      <c r="D14" s="20"/>
      <c r="E14" s="293">
        <f>17.74*21</f>
        <v>372.53999999999996</v>
      </c>
      <c r="F14" s="293">
        <f>E14*0.0507</f>
        <v>18.887777999999997</v>
      </c>
      <c r="K14" s="54"/>
      <c r="L14" s="430" t="s">
        <v>38</v>
      </c>
      <c r="M14" s="430" t="s">
        <v>39</v>
      </c>
      <c r="N14" s="430" t="s">
        <v>40</v>
      </c>
      <c r="O14" s="431" t="s">
        <v>41</v>
      </c>
      <c r="P14" s="401" t="s">
        <v>34</v>
      </c>
      <c r="Q14" s="401" t="s">
        <v>35</v>
      </c>
      <c r="R14" s="401" t="s">
        <v>36</v>
      </c>
      <c r="S14" s="401" t="s">
        <v>37</v>
      </c>
      <c r="T14" s="53"/>
    </row>
    <row r="15" spans="1:20" ht="15" customHeight="1">
      <c r="A15" s="383" t="s">
        <v>14</v>
      </c>
      <c r="B15" s="383"/>
      <c r="C15" s="383"/>
      <c r="D15" s="383"/>
      <c r="E15" s="293">
        <v>128.68</v>
      </c>
      <c r="F15" s="293">
        <f>E15*0.2</f>
        <v>25.736000000000004</v>
      </c>
      <c r="K15" s="56"/>
      <c r="L15" s="430"/>
      <c r="M15" s="430"/>
      <c r="N15" s="430"/>
      <c r="O15" s="431"/>
      <c r="P15" s="401"/>
      <c r="Q15" s="401"/>
      <c r="R15" s="401"/>
      <c r="S15" s="401"/>
      <c r="T15" s="53"/>
    </row>
    <row r="16" spans="1:20" ht="15" customHeight="1">
      <c r="A16" s="383" t="s">
        <v>15</v>
      </c>
      <c r="B16" s="383"/>
      <c r="C16" s="383"/>
      <c r="D16" s="383"/>
      <c r="E16" s="293">
        <v>0</v>
      </c>
      <c r="F16" s="293">
        <v>0</v>
      </c>
      <c r="K16" s="56"/>
      <c r="L16" s="430"/>
      <c r="M16" s="430"/>
      <c r="N16" s="430"/>
      <c r="O16" s="431"/>
      <c r="P16" s="401"/>
      <c r="Q16" s="401"/>
      <c r="R16" s="401"/>
      <c r="S16" s="401"/>
      <c r="T16" s="53"/>
    </row>
    <row r="17" spans="1:20" ht="15" customHeight="1">
      <c r="A17" s="383" t="s">
        <v>16</v>
      </c>
      <c r="B17" s="383"/>
      <c r="C17" s="383"/>
      <c r="D17" s="383"/>
      <c r="E17" s="293">
        <v>0</v>
      </c>
      <c r="F17" s="293">
        <v>0</v>
      </c>
      <c r="K17" s="56"/>
      <c r="L17" s="430"/>
      <c r="M17" s="430"/>
      <c r="N17" s="430"/>
      <c r="O17" s="431"/>
      <c r="P17" s="401"/>
      <c r="Q17" s="401"/>
      <c r="R17" s="401"/>
      <c r="S17" s="401"/>
      <c r="T17" s="53"/>
    </row>
    <row r="18" spans="1:20" ht="15" customHeight="1">
      <c r="A18" s="383" t="s">
        <v>17</v>
      </c>
      <c r="B18" s="383"/>
      <c r="C18" s="383"/>
      <c r="D18" s="383"/>
      <c r="E18" s="293">
        <v>0</v>
      </c>
      <c r="F18" s="293">
        <v>0</v>
      </c>
      <c r="K18" s="56"/>
      <c r="L18" s="430"/>
      <c r="M18" s="430"/>
      <c r="N18" s="430"/>
      <c r="O18" s="431"/>
      <c r="P18" s="401"/>
      <c r="Q18" s="401"/>
      <c r="R18" s="401"/>
      <c r="S18" s="401"/>
      <c r="T18" s="53"/>
    </row>
    <row r="19" spans="1:20">
      <c r="A19" s="20" t="s">
        <v>18</v>
      </c>
      <c r="B19" s="20"/>
      <c r="C19" s="20"/>
      <c r="D19" s="20"/>
      <c r="E19" s="8">
        <f>SUM(E13:E18)</f>
        <v>778.42000000000007</v>
      </c>
      <c r="F19" s="8">
        <f>SUM(F13:F18)</f>
        <v>61.255777999999999</v>
      </c>
      <c r="K19" s="44" t="s">
        <v>117</v>
      </c>
      <c r="L19" s="28">
        <v>30</v>
      </c>
      <c r="M19" s="29">
        <v>0</v>
      </c>
      <c r="N19" s="28">
        <f>L19+M19</f>
        <v>30</v>
      </c>
      <c r="O19" s="25">
        <f>(P26*N19)/30.4735</f>
        <v>2838.7855060954598</v>
      </c>
      <c r="P19" s="29">
        <v>12</v>
      </c>
      <c r="Q19" s="30">
        <f>O19/P19</f>
        <v>236.56545884128832</v>
      </c>
      <c r="R19" s="63">
        <v>0.5</v>
      </c>
      <c r="S19" s="32">
        <f>Q19*R19</f>
        <v>118.28272942064416</v>
      </c>
      <c r="T19" s="53"/>
    </row>
    <row r="20" spans="1:20">
      <c r="K20" s="44" t="s">
        <v>118</v>
      </c>
      <c r="L20" s="28">
        <v>30</v>
      </c>
      <c r="M20" s="29">
        <v>0</v>
      </c>
      <c r="N20" s="28">
        <f>L20+M20</f>
        <v>30</v>
      </c>
      <c r="O20" s="25">
        <f>(Q26*N20)/30.4375</f>
        <v>1970.6787286516083</v>
      </c>
      <c r="P20" s="29">
        <v>12</v>
      </c>
      <c r="Q20" s="30">
        <f>O20/P20</f>
        <v>164.22322738763401</v>
      </c>
      <c r="R20" s="63">
        <v>0.5</v>
      </c>
      <c r="S20" s="32">
        <f>Q20*R20</f>
        <v>82.111613693817006</v>
      </c>
      <c r="T20" s="53"/>
    </row>
    <row r="21" spans="1:20">
      <c r="A21" s="375" t="s">
        <v>115</v>
      </c>
      <c r="B21" s="376"/>
      <c r="C21" s="376"/>
      <c r="D21" s="376"/>
      <c r="E21" s="354"/>
      <c r="F21" s="10" t="s">
        <v>117</v>
      </c>
      <c r="G21" s="10" t="s">
        <v>118</v>
      </c>
      <c r="K21" s="54"/>
      <c r="L21" s="55"/>
      <c r="M21" s="55"/>
      <c r="N21" s="55"/>
      <c r="O21" s="55"/>
      <c r="P21" s="55"/>
      <c r="Q21" s="55"/>
      <c r="R21" s="55"/>
      <c r="S21" s="55"/>
      <c r="T21" s="53"/>
    </row>
    <row r="22" spans="1:20">
      <c r="A22" s="346" t="s">
        <v>120</v>
      </c>
      <c r="B22" s="347"/>
      <c r="C22" s="348"/>
      <c r="D22" s="436">
        <v>8.3299999999999999E-2</v>
      </c>
      <c r="E22" s="437"/>
      <c r="F22" s="7">
        <f>D22*D4</f>
        <v>216.17849399999997</v>
      </c>
      <c r="G22" s="7">
        <f>D22*H10</f>
        <v>149.90084899999999</v>
      </c>
      <c r="K22" s="54"/>
      <c r="L22" s="413" t="s">
        <v>30</v>
      </c>
      <c r="M22" s="414"/>
      <c r="N22" s="414"/>
      <c r="O22" s="361"/>
      <c r="P22" s="44" t="s">
        <v>117</v>
      </c>
      <c r="Q22" s="33" t="s">
        <v>93</v>
      </c>
      <c r="R22" s="55"/>
      <c r="S22" s="55"/>
      <c r="T22" s="53"/>
    </row>
    <row r="23" spans="1:20">
      <c r="A23" s="346" t="s">
        <v>21</v>
      </c>
      <c r="B23" s="347"/>
      <c r="C23" s="348"/>
      <c r="D23" s="436">
        <v>0.1111</v>
      </c>
      <c r="E23" s="437"/>
      <c r="F23" s="7">
        <f>D23*D4</f>
        <v>288.32449800000001</v>
      </c>
      <c r="G23" s="7">
        <f>D23*H4</f>
        <v>199.92778300000001</v>
      </c>
      <c r="K23" s="54"/>
      <c r="L23" s="385" t="s">
        <v>31</v>
      </c>
      <c r="M23" s="386"/>
      <c r="N23" s="386"/>
      <c r="O23" s="387"/>
      <c r="P23" s="24">
        <f>D10</f>
        <v>2595.1799999999998</v>
      </c>
      <c r="Q23" s="25">
        <f>H10</f>
        <v>1799.53</v>
      </c>
      <c r="R23" s="57"/>
      <c r="S23" s="57"/>
      <c r="T23" s="53"/>
    </row>
    <row r="24" spans="1:20">
      <c r="A24" s="438" t="s">
        <v>119</v>
      </c>
      <c r="B24" s="439"/>
      <c r="C24" s="439"/>
      <c r="D24" s="439"/>
      <c r="E24" s="440"/>
      <c r="F24" s="12">
        <f>SUM(F22:F23)</f>
        <v>504.50299199999995</v>
      </c>
      <c r="G24" s="12">
        <f>SUM(G22:G23)</f>
        <v>349.82863199999997</v>
      </c>
      <c r="K24" s="54"/>
      <c r="L24" s="385" t="s">
        <v>32</v>
      </c>
      <c r="M24" s="386"/>
      <c r="N24" s="386"/>
      <c r="O24" s="387"/>
      <c r="P24" s="26">
        <f>P23/12</f>
        <v>216.26499999999999</v>
      </c>
      <c r="Q24" s="25">
        <f>G22</f>
        <v>149.90084899999999</v>
      </c>
      <c r="R24" s="57"/>
      <c r="S24" s="57"/>
      <c r="T24" s="53"/>
    </row>
    <row r="25" spans="1:20">
      <c r="K25" s="54"/>
      <c r="L25" s="385" t="s">
        <v>33</v>
      </c>
      <c r="M25" s="386"/>
      <c r="N25" s="386"/>
      <c r="O25" s="387"/>
      <c r="P25" s="26">
        <f>F23-F22</f>
        <v>72.146004000000033</v>
      </c>
      <c r="Q25" s="25">
        <f>(H10/3)/12</f>
        <v>49.986944444444447</v>
      </c>
      <c r="R25" s="57"/>
      <c r="S25" s="57"/>
      <c r="T25" s="53"/>
    </row>
    <row r="26" spans="1:20">
      <c r="A26" s="375" t="s">
        <v>122</v>
      </c>
      <c r="B26" s="376"/>
      <c r="C26" s="376"/>
      <c r="D26" s="376"/>
      <c r="E26" s="354"/>
      <c r="F26" s="10" t="s">
        <v>117</v>
      </c>
      <c r="G26" s="10" t="s">
        <v>118</v>
      </c>
      <c r="H26" s="298" t="s">
        <v>82</v>
      </c>
      <c r="I26" s="299" t="s">
        <v>117</v>
      </c>
      <c r="J26" s="299" t="s">
        <v>118</v>
      </c>
      <c r="K26" s="57"/>
      <c r="L26" s="388"/>
      <c r="M26" s="389"/>
      <c r="N26" s="389"/>
      <c r="O26" s="31" t="s">
        <v>26</v>
      </c>
      <c r="P26" s="159">
        <f>SUM(P23:P25)</f>
        <v>2883.5910039999999</v>
      </c>
      <c r="Q26" s="159">
        <f>SUM(Q23:Q25)</f>
        <v>1999.4177934444442</v>
      </c>
      <c r="R26" s="57"/>
      <c r="S26" s="57"/>
      <c r="T26" s="53"/>
    </row>
    <row r="27" spans="1:20">
      <c r="A27" s="398" t="s">
        <v>22</v>
      </c>
      <c r="B27" s="399"/>
      <c r="C27" s="400"/>
      <c r="D27" s="390">
        <v>0.2</v>
      </c>
      <c r="E27" s="391"/>
      <c r="F27" s="18">
        <f>D10*D27</f>
        <v>519.03599999999994</v>
      </c>
      <c r="G27" s="305">
        <f>H10*D27</f>
        <v>359.90600000000001</v>
      </c>
      <c r="H27" s="300">
        <v>0.2</v>
      </c>
      <c r="I27" s="301">
        <f>D10*H27</f>
        <v>519.03599999999994</v>
      </c>
      <c r="J27" s="302">
        <f>H10*H27</f>
        <v>359.90600000000001</v>
      </c>
      <c r="K27" s="52"/>
      <c r="L27" s="52"/>
      <c r="M27" s="52"/>
      <c r="N27" s="52"/>
      <c r="O27" s="52"/>
      <c r="P27" s="52"/>
      <c r="Q27" s="52"/>
      <c r="R27" s="52"/>
      <c r="S27" s="52"/>
      <c r="T27" s="53"/>
    </row>
    <row r="28" spans="1:20">
      <c r="A28" s="398" t="s">
        <v>105</v>
      </c>
      <c r="B28" s="399"/>
      <c r="C28" s="400"/>
      <c r="D28" s="402">
        <v>0.03</v>
      </c>
      <c r="E28" s="403"/>
      <c r="F28" s="19">
        <f>D10*D28</f>
        <v>77.855399999999989</v>
      </c>
      <c r="G28" s="305">
        <f>H10*D28</f>
        <v>53.985899999999994</v>
      </c>
      <c r="H28" s="300">
        <v>0.03</v>
      </c>
      <c r="I28" s="302">
        <f>D10*H28</f>
        <v>77.855399999999989</v>
      </c>
      <c r="J28" s="301">
        <f>H10*D28</f>
        <v>53.985899999999994</v>
      </c>
      <c r="K28" s="52"/>
      <c r="L28" s="52"/>
      <c r="M28" s="52"/>
      <c r="N28" s="52"/>
      <c r="O28" s="52"/>
      <c r="P28" s="52"/>
      <c r="Q28" s="52"/>
      <c r="R28" s="52"/>
      <c r="S28" s="52"/>
      <c r="T28" s="53"/>
    </row>
    <row r="29" spans="1:20">
      <c r="A29" s="398" t="s">
        <v>23</v>
      </c>
      <c r="B29" s="399"/>
      <c r="C29" s="400"/>
      <c r="D29" s="390"/>
      <c r="E29" s="391"/>
      <c r="F29" s="19">
        <v>0</v>
      </c>
      <c r="G29" s="305">
        <v>0</v>
      </c>
      <c r="H29" s="300"/>
      <c r="I29" s="303">
        <v>0</v>
      </c>
      <c r="J29" s="303">
        <v>0</v>
      </c>
      <c r="K29" s="52"/>
      <c r="L29" s="52"/>
      <c r="M29" s="52"/>
      <c r="N29" s="52"/>
      <c r="O29" s="51"/>
      <c r="P29" s="51"/>
      <c r="Q29" s="51"/>
      <c r="R29" s="51"/>
      <c r="S29" s="51"/>
      <c r="T29" s="53"/>
    </row>
    <row r="30" spans="1:20">
      <c r="A30" s="395" t="s">
        <v>24</v>
      </c>
      <c r="B30" s="396"/>
      <c r="C30" s="397"/>
      <c r="D30" s="390"/>
      <c r="E30" s="391"/>
      <c r="F30" s="19">
        <v>0</v>
      </c>
      <c r="G30" s="305">
        <v>0</v>
      </c>
      <c r="H30" s="300"/>
      <c r="I30" s="303">
        <v>0</v>
      </c>
      <c r="J30" s="303">
        <v>0</v>
      </c>
      <c r="K30" s="52"/>
      <c r="L30" s="404" t="s">
        <v>42</v>
      </c>
      <c r="M30" s="404"/>
      <c r="N30" s="404"/>
      <c r="O30" s="404"/>
      <c r="P30" s="404"/>
      <c r="Q30" s="36"/>
      <c r="R30" s="72" t="s">
        <v>43</v>
      </c>
      <c r="S30" s="73">
        <f>V46*8%</f>
        <v>0</v>
      </c>
      <c r="T30" s="53"/>
    </row>
    <row r="31" spans="1:20">
      <c r="A31" s="398" t="s">
        <v>25</v>
      </c>
      <c r="B31" s="399"/>
      <c r="C31" s="400"/>
      <c r="D31" s="390">
        <v>0.08</v>
      </c>
      <c r="E31" s="391"/>
      <c r="F31" s="19">
        <f>D10*D31</f>
        <v>207.61439999999999</v>
      </c>
      <c r="G31" s="305">
        <f>H10*D31</f>
        <v>143.9624</v>
      </c>
      <c r="H31" s="300">
        <v>0.08</v>
      </c>
      <c r="I31" s="302">
        <f>D10*H31</f>
        <v>207.61439999999999</v>
      </c>
      <c r="J31" s="302">
        <f>H10*H31</f>
        <v>143.9624</v>
      </c>
      <c r="K31" s="52"/>
      <c r="L31" s="384" t="s">
        <v>5</v>
      </c>
      <c r="M31" s="405" t="s">
        <v>44</v>
      </c>
      <c r="N31" s="384" t="s">
        <v>25</v>
      </c>
      <c r="O31" s="384" t="s">
        <v>45</v>
      </c>
      <c r="P31" s="433" t="s">
        <v>36</v>
      </c>
      <c r="Q31" s="384" t="s">
        <v>46</v>
      </c>
      <c r="R31" s="74"/>
      <c r="S31" s="37"/>
      <c r="T31" s="53"/>
    </row>
    <row r="32" spans="1:20">
      <c r="A32" s="392" t="s">
        <v>27</v>
      </c>
      <c r="B32" s="393"/>
      <c r="C32" s="394"/>
      <c r="D32" s="390">
        <f>SUM(D27:D31)</f>
        <v>0.31</v>
      </c>
      <c r="E32" s="391"/>
      <c r="F32" s="19">
        <f>SUM((F27:F31))</f>
        <v>804.50579999999991</v>
      </c>
      <c r="G32" s="305">
        <f>SUM(G27:G31)</f>
        <v>557.85429999999997</v>
      </c>
      <c r="H32" s="300">
        <v>0.31</v>
      </c>
      <c r="I32" s="301">
        <f>SUM(I27:I31)</f>
        <v>804.50579999999991</v>
      </c>
      <c r="J32" s="302">
        <f>SUM(J27:J31)</f>
        <v>557.85429999999997</v>
      </c>
      <c r="K32" s="52"/>
      <c r="L32" s="384"/>
      <c r="M32" s="406"/>
      <c r="N32" s="384"/>
      <c r="O32" s="384"/>
      <c r="P32" s="434"/>
      <c r="Q32" s="384"/>
      <c r="R32" s="74"/>
      <c r="S32" s="37"/>
      <c r="T32" s="53"/>
    </row>
    <row r="33" spans="1:20" ht="15" customHeight="1">
      <c r="A33" s="441" t="s">
        <v>125</v>
      </c>
      <c r="B33" s="442"/>
      <c r="C33" s="442"/>
      <c r="D33" s="442"/>
      <c r="E33" s="443"/>
      <c r="F33" s="16">
        <f>D32*F24</f>
        <v>156.39592751999999</v>
      </c>
      <c r="G33" s="16">
        <f>D32*G24</f>
        <v>108.44687592</v>
      </c>
      <c r="H33" s="304"/>
      <c r="I33" s="302">
        <f>D32*F24</f>
        <v>156.39592751999999</v>
      </c>
      <c r="J33" s="302">
        <f>D32*G24</f>
        <v>108.44687592</v>
      </c>
      <c r="K33" s="276" t="s">
        <v>117</v>
      </c>
      <c r="L33" s="7">
        <f>O19</f>
        <v>2838.7855060954598</v>
      </c>
      <c r="M33" s="75">
        <v>0.5</v>
      </c>
      <c r="N33" s="75">
        <v>0.08</v>
      </c>
      <c r="O33" s="76">
        <f>(L33*M33)*N33</f>
        <v>113.5514202438184</v>
      </c>
      <c r="P33" s="77">
        <v>0.5</v>
      </c>
      <c r="Q33" s="8">
        <f>O33*P33</f>
        <v>56.775710121909199</v>
      </c>
      <c r="R33" s="74"/>
      <c r="S33" s="37"/>
      <c r="T33" s="53"/>
    </row>
    <row r="34" spans="1:20">
      <c r="A34" s="398" t="s">
        <v>123</v>
      </c>
      <c r="B34" s="399"/>
      <c r="C34" s="399"/>
      <c r="D34" s="399"/>
      <c r="E34" s="400"/>
      <c r="F34" s="119">
        <f>F33+F32</f>
        <v>960.90172751999989</v>
      </c>
      <c r="G34" s="17">
        <f>G33+G32</f>
        <v>666.30117591999999</v>
      </c>
      <c r="H34" s="304"/>
      <c r="I34" s="301">
        <f>SUM(I32:I33)</f>
        <v>960.90172751999989</v>
      </c>
      <c r="J34" s="302">
        <f>SUM(J32:J33)</f>
        <v>666.30117591999999</v>
      </c>
      <c r="K34" s="276" t="s">
        <v>118</v>
      </c>
      <c r="L34" s="16">
        <f>O20</f>
        <v>1970.6787286516083</v>
      </c>
      <c r="M34" s="75">
        <v>0.5</v>
      </c>
      <c r="N34" s="75">
        <v>0.08</v>
      </c>
      <c r="O34" s="78">
        <f>(L34*M34)*N34</f>
        <v>78.827149146064329</v>
      </c>
      <c r="P34" s="77">
        <v>0.5</v>
      </c>
      <c r="Q34" s="17">
        <f>O34*P34</f>
        <v>39.413574573032164</v>
      </c>
      <c r="R34" s="52"/>
      <c r="S34" s="52"/>
      <c r="T34" s="53"/>
    </row>
    <row r="35" spans="1:20">
      <c r="K35" s="444" t="s">
        <v>47</v>
      </c>
      <c r="L35" s="445"/>
      <c r="M35" s="445"/>
      <c r="N35" s="445"/>
      <c r="O35" s="445"/>
      <c r="P35" s="445"/>
      <c r="Q35" s="445"/>
      <c r="R35" s="445"/>
      <c r="S35" s="445"/>
      <c r="T35" s="53"/>
    </row>
    <row r="36" spans="1:20">
      <c r="A36" s="375" t="s">
        <v>128</v>
      </c>
      <c r="B36" s="376"/>
      <c r="C36" s="376"/>
      <c r="D36" s="376"/>
      <c r="E36" s="354"/>
      <c r="F36" s="10" t="s">
        <v>117</v>
      </c>
      <c r="G36" s="10" t="s">
        <v>118</v>
      </c>
      <c r="H36" s="298" t="s">
        <v>82</v>
      </c>
      <c r="I36" s="299" t="s">
        <v>117</v>
      </c>
      <c r="J36" s="299" t="s">
        <v>118</v>
      </c>
      <c r="K36" s="445"/>
      <c r="L36" s="445"/>
      <c r="M36" s="445"/>
      <c r="N36" s="445"/>
      <c r="O36" s="445"/>
      <c r="P36" s="445"/>
      <c r="Q36" s="445"/>
      <c r="R36" s="445"/>
      <c r="S36" s="445"/>
      <c r="T36" s="53"/>
    </row>
    <row r="37" spans="1:20">
      <c r="A37" s="450" t="s">
        <v>59</v>
      </c>
      <c r="B37" s="451"/>
      <c r="C37" s="451"/>
      <c r="D37" s="451"/>
      <c r="E37" s="121"/>
      <c r="F37" s="16">
        <f>S19</f>
        <v>118.28272942064416</v>
      </c>
      <c r="G37" s="16">
        <f>S20</f>
        <v>82.111613693817006</v>
      </c>
      <c r="H37" s="304"/>
      <c r="I37" s="302">
        <f>F37</f>
        <v>118.28272942064416</v>
      </c>
      <c r="J37" s="302">
        <f>G37</f>
        <v>82.111613693817006</v>
      </c>
      <c r="K37" s="52"/>
      <c r="L37" s="52"/>
      <c r="M37" s="52"/>
      <c r="N37" s="52"/>
      <c r="O37" s="52"/>
      <c r="P37" s="52"/>
      <c r="Q37" s="52"/>
      <c r="R37" s="52"/>
      <c r="S37" s="52"/>
      <c r="T37" s="53"/>
    </row>
    <row r="38" spans="1:20" ht="15" customHeight="1">
      <c r="A38" s="450" t="s">
        <v>60</v>
      </c>
      <c r="B38" s="451"/>
      <c r="C38" s="451"/>
      <c r="D38" s="451"/>
      <c r="E38" s="129">
        <f>D31</f>
        <v>0.08</v>
      </c>
      <c r="F38" s="16">
        <f>F37*E38</f>
        <v>9.4626183536515338</v>
      </c>
      <c r="G38" s="16">
        <f>G37*E38</f>
        <v>6.5689290955053607</v>
      </c>
      <c r="H38" s="304"/>
      <c r="I38" s="302">
        <f>E38*F37</f>
        <v>9.4626183536515338</v>
      </c>
      <c r="J38" s="302">
        <f>J37*E38</f>
        <v>6.5689290955053607</v>
      </c>
      <c r="K38" s="57"/>
      <c r="L38" s="415" t="s">
        <v>48</v>
      </c>
      <c r="M38" s="416"/>
      <c r="N38" s="416"/>
      <c r="O38" s="416"/>
      <c r="P38" s="416"/>
      <c r="Q38" s="416"/>
      <c r="R38" s="416"/>
      <c r="S38" s="416"/>
      <c r="T38" s="53"/>
    </row>
    <row r="39" spans="1:20">
      <c r="A39" s="122" t="s">
        <v>61</v>
      </c>
      <c r="B39" s="123"/>
      <c r="C39" s="124"/>
      <c r="D39" s="120"/>
      <c r="E39" s="121"/>
      <c r="F39" s="16">
        <f>Q33</f>
        <v>56.775710121909199</v>
      </c>
      <c r="G39" s="16">
        <f>Q34</f>
        <v>39.413574573032164</v>
      </c>
      <c r="H39" s="304"/>
      <c r="I39" s="302">
        <f>Q33</f>
        <v>56.775710121909199</v>
      </c>
      <c r="J39" s="302">
        <f>Q34</f>
        <v>39.413574573032164</v>
      </c>
      <c r="K39" s="57"/>
      <c r="L39" s="384" t="s">
        <v>49</v>
      </c>
      <c r="M39" s="384"/>
      <c r="N39" s="384"/>
      <c r="O39" s="384"/>
      <c r="P39" s="413" t="s">
        <v>117</v>
      </c>
      <c r="Q39" s="361"/>
      <c r="R39" s="413" t="s">
        <v>126</v>
      </c>
      <c r="S39" s="361"/>
      <c r="T39" s="53"/>
    </row>
    <row r="40" spans="1:20">
      <c r="A40" s="450" t="s">
        <v>62</v>
      </c>
      <c r="B40" s="451"/>
      <c r="C40" s="451"/>
      <c r="D40" s="451"/>
      <c r="E40" s="121"/>
      <c r="F40" s="16">
        <f>T51</f>
        <v>186.64495827515404</v>
      </c>
      <c r="G40" s="16">
        <f>T52</f>
        <v>139.22291125256672</v>
      </c>
      <c r="H40" s="304"/>
      <c r="I40" s="302">
        <f>T56</f>
        <v>180.46342069815196</v>
      </c>
      <c r="J40" s="302">
        <f>T57</f>
        <v>134.9365564271047</v>
      </c>
      <c r="K40" s="57"/>
      <c r="L40" s="384"/>
      <c r="M40" s="384"/>
      <c r="N40" s="384"/>
      <c r="O40" s="384"/>
      <c r="P40" s="38" t="s">
        <v>5</v>
      </c>
      <c r="Q40" s="39" t="s">
        <v>28</v>
      </c>
      <c r="R40" s="38" t="s">
        <v>5</v>
      </c>
      <c r="S40" s="40" t="s">
        <v>28</v>
      </c>
      <c r="T40" s="53"/>
    </row>
    <row r="41" spans="1:20">
      <c r="A41" s="448" t="s">
        <v>102</v>
      </c>
      <c r="B41" s="448"/>
      <c r="C41" s="448"/>
      <c r="D41" s="448"/>
      <c r="E41" s="448"/>
      <c r="F41" s="16">
        <f>F40*D32</f>
        <v>57.85993706529775</v>
      </c>
      <c r="G41" s="16">
        <f>G40*D32</f>
        <v>43.15910248829568</v>
      </c>
      <c r="H41" s="304"/>
      <c r="I41" s="302">
        <f>F40*D32</f>
        <v>57.85993706529775</v>
      </c>
      <c r="J41" s="302">
        <f>G40*D32</f>
        <v>43.15910248829568</v>
      </c>
      <c r="K41" s="57"/>
      <c r="L41" s="59">
        <v>1</v>
      </c>
      <c r="M41" s="58" t="s">
        <v>31</v>
      </c>
      <c r="N41" s="58"/>
      <c r="O41" s="34"/>
      <c r="P41" s="43">
        <f>D10</f>
        <v>2595.1799999999998</v>
      </c>
      <c r="Q41" s="41">
        <f>P41</f>
        <v>2595.1799999999998</v>
      </c>
      <c r="R41" s="43">
        <f>H10</f>
        <v>1799.53</v>
      </c>
      <c r="S41" s="42">
        <f>R41</f>
        <v>1799.53</v>
      </c>
      <c r="T41" s="53"/>
    </row>
    <row r="42" spans="1:20">
      <c r="A42" s="122" t="s">
        <v>63</v>
      </c>
      <c r="B42" s="123"/>
      <c r="C42" s="124"/>
      <c r="D42" s="120"/>
      <c r="E42" s="121"/>
      <c r="F42" s="16">
        <f>Q61</f>
        <v>86.622441935112946</v>
      </c>
      <c r="G42" s="16">
        <f>Q62</f>
        <v>64.769547085010259</v>
      </c>
      <c r="H42" s="304"/>
      <c r="I42" s="302">
        <f>Q61</f>
        <v>86.622441935112946</v>
      </c>
      <c r="J42" s="302">
        <f>Q62</f>
        <v>64.769547085010259</v>
      </c>
      <c r="K42" s="57"/>
      <c r="L42" s="59">
        <v>2</v>
      </c>
      <c r="M42" s="58" t="s">
        <v>50</v>
      </c>
      <c r="N42" s="58"/>
      <c r="O42" s="34"/>
      <c r="P42" s="45">
        <f>E19</f>
        <v>778.42000000000007</v>
      </c>
      <c r="Q42" s="46">
        <f>P42</f>
        <v>778.42000000000007</v>
      </c>
      <c r="R42" s="45">
        <f>P42</f>
        <v>778.42000000000007</v>
      </c>
      <c r="S42" s="46">
        <f>P42</f>
        <v>778.42000000000007</v>
      </c>
      <c r="T42" s="53"/>
    </row>
    <row r="43" spans="1:20">
      <c r="A43" s="449" t="s">
        <v>90</v>
      </c>
      <c r="B43" s="449"/>
      <c r="C43" s="449"/>
      <c r="D43" s="449"/>
      <c r="E43" s="449"/>
      <c r="F43" s="17">
        <f>SUM(F37:F42)</f>
        <v>515.64839517176961</v>
      </c>
      <c r="G43" s="17">
        <f>SUM(G37:G42)</f>
        <v>375.2456781882272</v>
      </c>
      <c r="H43" s="304"/>
      <c r="I43" s="306">
        <f>SUM(I37:I42)</f>
        <v>509.46685759476753</v>
      </c>
      <c r="J43" s="306">
        <f>SUM(J37:J42)</f>
        <v>370.95932336276519</v>
      </c>
      <c r="K43" s="57"/>
      <c r="L43" s="59">
        <v>3</v>
      </c>
      <c r="M43" s="58" t="s">
        <v>51</v>
      </c>
      <c r="N43" s="58"/>
      <c r="O43" s="34"/>
      <c r="P43" s="126">
        <f>F22</f>
        <v>216.17849399999997</v>
      </c>
      <c r="Q43" s="46">
        <f>P43</f>
        <v>216.17849399999997</v>
      </c>
      <c r="R43" s="45">
        <f>G22</f>
        <v>149.90084899999999</v>
      </c>
      <c r="S43" s="46">
        <f>R43</f>
        <v>149.90084899999999</v>
      </c>
      <c r="T43" s="53"/>
    </row>
    <row r="44" spans="1:20">
      <c r="H44" s="307"/>
      <c r="I44" s="307"/>
      <c r="J44" s="307"/>
      <c r="K44" s="57"/>
      <c r="L44" s="59">
        <v>4</v>
      </c>
      <c r="M44" s="58" t="s">
        <v>33</v>
      </c>
      <c r="N44" s="58"/>
      <c r="O44" s="34"/>
      <c r="P44" s="45">
        <f>O32</f>
        <v>0</v>
      </c>
      <c r="Q44" s="46">
        <f>P44</f>
        <v>0</v>
      </c>
      <c r="R44" s="45">
        <v>0</v>
      </c>
      <c r="S44" s="46">
        <v>0</v>
      </c>
      <c r="T44" s="53"/>
    </row>
    <row r="45" spans="1:20">
      <c r="A45" s="377" t="s">
        <v>129</v>
      </c>
      <c r="B45" s="378"/>
      <c r="C45" s="378"/>
      <c r="D45" s="378"/>
      <c r="E45" s="379"/>
      <c r="F45" s="10" t="s">
        <v>117</v>
      </c>
      <c r="G45" s="10" t="s">
        <v>118</v>
      </c>
      <c r="H45" s="298" t="s">
        <v>82</v>
      </c>
      <c r="I45" s="299" t="s">
        <v>117</v>
      </c>
      <c r="J45" s="299" t="s">
        <v>118</v>
      </c>
      <c r="K45" s="57"/>
      <c r="L45" s="59">
        <v>5</v>
      </c>
      <c r="M45" s="58" t="s">
        <v>52</v>
      </c>
      <c r="N45" s="61">
        <v>0.28799999999999998</v>
      </c>
      <c r="O45" s="48"/>
      <c r="P45" s="45">
        <f>P41*N45</f>
        <v>747.41183999999987</v>
      </c>
      <c r="Q45" s="46">
        <f>P41*23%</f>
        <v>596.89139999999998</v>
      </c>
      <c r="R45" s="45">
        <f>T46*N45</f>
        <v>518.26463999999999</v>
      </c>
      <c r="S45" s="46">
        <f>R41*23%</f>
        <v>413.89190000000002</v>
      </c>
      <c r="T45" s="53"/>
    </row>
    <row r="46" spans="1:20">
      <c r="A46" s="380" t="s">
        <v>64</v>
      </c>
      <c r="B46" s="380"/>
      <c r="C46" s="380"/>
      <c r="D46" s="380"/>
      <c r="E46" s="380"/>
      <c r="F46" s="432">
        <f>Q79</f>
        <v>35.123761378654059</v>
      </c>
      <c r="G46" s="432">
        <f>Q81</f>
        <v>25.543769993339804</v>
      </c>
      <c r="H46" s="446"/>
      <c r="I46" s="447">
        <f>Q80</f>
        <v>33.495185555090913</v>
      </c>
      <c r="J46" s="447">
        <f>Q82</f>
        <v>24.397395070614557</v>
      </c>
      <c r="K46" s="57"/>
      <c r="L46" s="59">
        <v>6</v>
      </c>
      <c r="M46" s="58" t="s">
        <v>25</v>
      </c>
      <c r="N46" s="62">
        <v>0.08</v>
      </c>
      <c r="O46" s="34"/>
      <c r="P46" s="45">
        <f>D10*N46</f>
        <v>207.61439999999999</v>
      </c>
      <c r="Q46" s="47">
        <f>P46</f>
        <v>207.61439999999999</v>
      </c>
      <c r="R46" s="45">
        <f>H10*N46</f>
        <v>143.9624</v>
      </c>
      <c r="S46" s="47">
        <f>R46</f>
        <v>143.9624</v>
      </c>
      <c r="T46" s="79">
        <f>R41</f>
        <v>1799.53</v>
      </c>
    </row>
    <row r="47" spans="1:20">
      <c r="A47" s="380"/>
      <c r="B47" s="380"/>
      <c r="C47" s="380"/>
      <c r="D47" s="380"/>
      <c r="E47" s="380"/>
      <c r="F47" s="432"/>
      <c r="G47" s="432"/>
      <c r="H47" s="446"/>
      <c r="I47" s="446"/>
      <c r="J47" s="446"/>
      <c r="K47" s="57"/>
      <c r="L47" s="57"/>
      <c r="M47" s="57"/>
      <c r="N47" s="57"/>
      <c r="O47" s="57"/>
      <c r="P47" s="45">
        <f>SUM(P41:P46)</f>
        <v>4544.8047340000003</v>
      </c>
      <c r="Q47" s="47">
        <f>SUM(Q41:Q46)</f>
        <v>4394.284294</v>
      </c>
      <c r="R47" s="45">
        <f>SUM(R41:R46)</f>
        <v>3390.0778889999997</v>
      </c>
      <c r="S47" s="47">
        <f>SUM(S41:S46)</f>
        <v>3285.7051489999999</v>
      </c>
      <c r="T47" s="53"/>
    </row>
    <row r="48" spans="1:20">
      <c r="A48" s="357" t="s">
        <v>103</v>
      </c>
      <c r="B48" s="357"/>
      <c r="C48" s="357"/>
      <c r="D48" s="381"/>
      <c r="E48" s="157"/>
      <c r="F48" s="16">
        <f>F46*D32</f>
        <v>10.888366027382759</v>
      </c>
      <c r="G48" s="139">
        <f>G46*D32</f>
        <v>7.9185686979353394</v>
      </c>
      <c r="H48" s="308"/>
      <c r="I48" s="309">
        <f>I46*D32</f>
        <v>10.383507522078183</v>
      </c>
      <c r="J48" s="309">
        <f>J46*D32</f>
        <v>7.5631924718905124</v>
      </c>
      <c r="K48" s="60"/>
      <c r="L48" s="60" t="s">
        <v>92</v>
      </c>
      <c r="M48" s="60"/>
      <c r="N48" s="60"/>
      <c r="O48" s="60"/>
      <c r="P48" s="60"/>
      <c r="Q48" s="60"/>
      <c r="R48" s="60"/>
      <c r="S48" s="60"/>
      <c r="T48" s="53"/>
    </row>
    <row r="49" spans="1:24">
      <c r="A49" s="382" t="s">
        <v>104</v>
      </c>
      <c r="B49" s="382"/>
      <c r="C49" s="382"/>
      <c r="D49" s="382"/>
      <c r="E49" s="382"/>
      <c r="F49" s="17">
        <f>SUM(F46:F48)</f>
        <v>46.012127406036818</v>
      </c>
      <c r="G49" s="140">
        <f>SUM(G46:G48)</f>
        <v>33.462338691275143</v>
      </c>
      <c r="H49" s="308"/>
      <c r="I49" s="310">
        <f>SUM(I46:I48)</f>
        <v>43.878693077169096</v>
      </c>
      <c r="J49" s="310">
        <f>SUM(J46:J48)</f>
        <v>31.960587542505071</v>
      </c>
      <c r="K49" s="60"/>
      <c r="L49" s="60"/>
      <c r="M49" s="60"/>
      <c r="N49" s="60"/>
      <c r="O49" s="60"/>
      <c r="P49" s="60"/>
      <c r="Q49" s="60"/>
      <c r="R49" s="60"/>
      <c r="S49" s="60"/>
      <c r="T49" s="80"/>
    </row>
    <row r="50" spans="1:24" ht="38.25">
      <c r="A50" s="188"/>
      <c r="B50" s="188"/>
      <c r="C50" s="188"/>
      <c r="D50" s="188"/>
      <c r="E50" s="188"/>
      <c r="F50" s="189"/>
      <c r="G50" s="190"/>
      <c r="H50" s="191"/>
      <c r="I50" s="192"/>
      <c r="J50" s="192"/>
      <c r="K50" s="81"/>
      <c r="L50" s="23" t="s">
        <v>53</v>
      </c>
      <c r="M50" s="23" t="s">
        <v>38</v>
      </c>
      <c r="N50" s="23" t="s">
        <v>39</v>
      </c>
      <c r="O50" s="23" t="s">
        <v>40</v>
      </c>
      <c r="P50" s="23" t="s">
        <v>41</v>
      </c>
      <c r="Q50" s="23" t="s">
        <v>34</v>
      </c>
      <c r="R50" s="23" t="s">
        <v>35</v>
      </c>
      <c r="S50" s="23" t="s">
        <v>36</v>
      </c>
      <c r="T50" s="23" t="s">
        <v>54</v>
      </c>
      <c r="U50" s="22"/>
      <c r="V50" s="22"/>
      <c r="W50" s="22"/>
    </row>
    <row r="51" spans="1:24">
      <c r="A51" s="188"/>
      <c r="B51" s="188"/>
      <c r="C51" s="188"/>
      <c r="D51" s="188"/>
      <c r="E51" s="188"/>
      <c r="F51" s="189"/>
      <c r="G51" s="190"/>
      <c r="H51" s="191"/>
      <c r="I51" s="192"/>
      <c r="J51" s="192"/>
      <c r="K51" s="44" t="s">
        <v>117</v>
      </c>
      <c r="L51" s="82">
        <f>P47</f>
        <v>4544.8047340000003</v>
      </c>
      <c r="M51" s="83">
        <v>30</v>
      </c>
      <c r="N51" s="84">
        <f>M19</f>
        <v>0</v>
      </c>
      <c r="O51" s="83">
        <f>SUM(M51:N51)</f>
        <v>30</v>
      </c>
      <c r="P51" s="114">
        <f>(L51/30.4375)*O51</f>
        <v>4479.4789986036967</v>
      </c>
      <c r="Q51" s="85">
        <f>P19</f>
        <v>12</v>
      </c>
      <c r="R51" s="86">
        <f>P51/Q51</f>
        <v>373.28991655030808</v>
      </c>
      <c r="S51" s="87">
        <v>0.5</v>
      </c>
      <c r="T51" s="116">
        <f>R51*S51</f>
        <v>186.64495827515404</v>
      </c>
      <c r="U51" s="22"/>
      <c r="V51" s="22"/>
      <c r="W51" s="22"/>
      <c r="X51" s="22"/>
    </row>
    <row r="52" spans="1:24">
      <c r="A52" s="188"/>
      <c r="B52" s="188"/>
      <c r="C52" s="188"/>
      <c r="D52" s="188"/>
      <c r="E52" s="188"/>
      <c r="F52" s="189"/>
      <c r="G52" s="190"/>
      <c r="H52" s="191"/>
      <c r="I52" s="192"/>
      <c r="J52" s="192"/>
      <c r="K52" s="44" t="s">
        <v>118</v>
      </c>
      <c r="L52" s="82">
        <f>R47</f>
        <v>3390.0778889999997</v>
      </c>
      <c r="M52" s="83">
        <v>30</v>
      </c>
      <c r="N52" s="84">
        <f>M20</f>
        <v>0</v>
      </c>
      <c r="O52" s="83">
        <f>SUM(M52:N52)</f>
        <v>30</v>
      </c>
      <c r="P52" s="114">
        <f>(L52/30.4375)*O52</f>
        <v>3341.3498700616015</v>
      </c>
      <c r="Q52" s="85">
        <f>P20</f>
        <v>12</v>
      </c>
      <c r="R52" s="86">
        <f>P52/Q52</f>
        <v>278.44582250513344</v>
      </c>
      <c r="S52" s="87">
        <v>0.5</v>
      </c>
      <c r="T52" s="116">
        <f>R52*S52</f>
        <v>139.22291125256672</v>
      </c>
      <c r="U52" s="22"/>
      <c r="V52" s="22"/>
      <c r="W52" s="22"/>
    </row>
    <row r="53" spans="1:24">
      <c r="A53" s="188"/>
      <c r="B53" s="188"/>
      <c r="C53" s="188"/>
      <c r="D53" s="188"/>
      <c r="E53" s="188"/>
      <c r="F53" s="189"/>
      <c r="G53" s="190"/>
      <c r="H53" s="191"/>
      <c r="I53" s="192"/>
      <c r="J53" s="192"/>
      <c r="K53" s="100"/>
      <c r="L53" s="101"/>
      <c r="M53" s="101"/>
      <c r="N53" s="101"/>
      <c r="O53" s="101"/>
      <c r="P53" s="101"/>
      <c r="Q53" s="101"/>
      <c r="R53" s="101"/>
      <c r="S53" s="101"/>
      <c r="T53" s="102"/>
      <c r="U53" s="22"/>
      <c r="V53" s="22"/>
      <c r="W53" s="22"/>
    </row>
    <row r="54" spans="1:24" ht="15" customHeight="1">
      <c r="A54" s="188"/>
      <c r="B54" s="188"/>
      <c r="C54" s="188"/>
      <c r="D54" s="188"/>
      <c r="E54" s="188"/>
      <c r="F54" s="189"/>
      <c r="G54" s="190"/>
      <c r="H54" s="191"/>
      <c r="I54" s="192"/>
      <c r="J54" s="192"/>
      <c r="K54" s="103"/>
      <c r="L54" s="417" t="s">
        <v>53</v>
      </c>
      <c r="M54" s="420"/>
      <c r="N54" s="422" t="s">
        <v>55</v>
      </c>
      <c r="O54" s="422" t="s">
        <v>56</v>
      </c>
      <c r="P54" s="424">
        <f>(((7/30)/12)*100)</f>
        <v>1.9444444444444444</v>
      </c>
      <c r="Q54" s="426">
        <f>P54/100</f>
        <v>1.9444444444444445E-2</v>
      </c>
      <c r="R54" s="65">
        <f>P51*Q54</f>
        <v>87.100980528405216</v>
      </c>
      <c r="S54" s="65"/>
      <c r="T54" s="67">
        <f>R54*S51</f>
        <v>43.550490264202608</v>
      </c>
      <c r="U54" s="22"/>
      <c r="V54" s="22"/>
      <c r="W54" s="22"/>
      <c r="X54" s="22"/>
    </row>
    <row r="55" spans="1:24" ht="15" customHeight="1">
      <c r="A55" s="188"/>
      <c r="B55" s="188"/>
      <c r="C55" s="188"/>
      <c r="D55" s="188"/>
      <c r="E55" s="188"/>
      <c r="F55" s="189"/>
      <c r="G55" s="190"/>
      <c r="H55" s="191"/>
      <c r="I55" s="192"/>
      <c r="J55" s="192"/>
      <c r="K55" s="104"/>
      <c r="L55" s="417"/>
      <c r="M55" s="421"/>
      <c r="N55" s="423"/>
      <c r="O55" s="423"/>
      <c r="P55" s="425"/>
      <c r="Q55" s="427"/>
      <c r="R55" s="66">
        <f>P52*Q54</f>
        <v>64.970691917864471</v>
      </c>
      <c r="S55" s="66"/>
      <c r="T55" s="68">
        <f>R55*S52</f>
        <v>32.485345958932236</v>
      </c>
      <c r="U55" s="88"/>
      <c r="V55" s="89"/>
      <c r="W55" s="89"/>
    </row>
    <row r="56" spans="1:24">
      <c r="A56" s="188"/>
      <c r="B56" s="188"/>
      <c r="C56" s="188"/>
      <c r="D56" s="188"/>
      <c r="E56" s="188"/>
      <c r="F56" s="189"/>
      <c r="G56" s="190"/>
      <c r="H56" s="191"/>
      <c r="I56" s="192"/>
      <c r="J56" s="192"/>
      <c r="K56" s="64" t="s">
        <v>117</v>
      </c>
      <c r="L56" s="118">
        <f>Q47</f>
        <v>4394.284294</v>
      </c>
      <c r="M56" s="90">
        <f t="shared" ref="M56:O57" si="0">M51</f>
        <v>30</v>
      </c>
      <c r="N56" s="91">
        <f t="shared" si="0"/>
        <v>0</v>
      </c>
      <c r="O56" s="92">
        <f t="shared" si="0"/>
        <v>30</v>
      </c>
      <c r="P56" s="117">
        <f>(L56/30.4375)*O56</f>
        <v>4331.1220967556474</v>
      </c>
      <c r="Q56" s="94">
        <f>Q51</f>
        <v>12</v>
      </c>
      <c r="R56" s="93">
        <f>P56/Q56</f>
        <v>360.92684139630393</v>
      </c>
      <c r="S56" s="69">
        <f>S51</f>
        <v>0.5</v>
      </c>
      <c r="T56" s="115">
        <f>R56*S56</f>
        <v>180.46342069815196</v>
      </c>
    </row>
    <row r="57" spans="1:24" ht="15" customHeight="1">
      <c r="A57" s="188"/>
      <c r="B57" s="188"/>
      <c r="C57" s="188"/>
      <c r="D57" s="188"/>
      <c r="E57" s="188"/>
      <c r="F57" s="189"/>
      <c r="G57" s="190"/>
      <c r="H57" s="191"/>
      <c r="I57" s="192"/>
      <c r="J57" s="192"/>
      <c r="K57" s="64" t="s">
        <v>118</v>
      </c>
      <c r="L57" s="118">
        <f>S47</f>
        <v>3285.7051489999999</v>
      </c>
      <c r="M57" s="90">
        <f t="shared" si="0"/>
        <v>30</v>
      </c>
      <c r="N57" s="91">
        <f t="shared" si="0"/>
        <v>0</v>
      </c>
      <c r="O57" s="92">
        <f t="shared" si="0"/>
        <v>30</v>
      </c>
      <c r="P57" s="117">
        <f>(L57/30.4375)*O57</f>
        <v>3238.4773542505131</v>
      </c>
      <c r="Q57" s="94">
        <f>Q52</f>
        <v>12</v>
      </c>
      <c r="R57" s="93">
        <f>P57/Q57</f>
        <v>269.87311285420941</v>
      </c>
      <c r="S57" s="69">
        <f>S52</f>
        <v>0.5</v>
      </c>
      <c r="T57" s="115">
        <f>R57*S57</f>
        <v>134.9365564271047</v>
      </c>
    </row>
    <row r="58" spans="1:24">
      <c r="K58" s="50"/>
      <c r="L58" s="52"/>
      <c r="M58" s="52"/>
      <c r="N58" s="52"/>
      <c r="O58" s="52"/>
      <c r="P58" s="52"/>
      <c r="Q58" s="52"/>
      <c r="R58" s="52"/>
      <c r="S58" s="52"/>
      <c r="T58" s="53"/>
    </row>
    <row r="59" spans="1:24">
      <c r="A59" s="369" t="s">
        <v>101</v>
      </c>
      <c r="B59" s="370"/>
      <c r="C59" s="370"/>
      <c r="D59" s="370"/>
      <c r="E59" s="371"/>
      <c r="F59" s="353" t="s">
        <v>117</v>
      </c>
      <c r="G59" s="354"/>
      <c r="H59" s="355" t="s">
        <v>126</v>
      </c>
      <c r="I59" s="356"/>
      <c r="K59" s="105"/>
      <c r="L59" s="358" t="s">
        <v>57</v>
      </c>
      <c r="M59" s="358"/>
      <c r="N59" s="358"/>
      <c r="O59" s="358"/>
      <c r="P59" s="358"/>
      <c r="Q59" s="358"/>
      <c r="R59" s="358"/>
      <c r="S59" s="358"/>
      <c r="T59" s="359"/>
    </row>
    <row r="60" spans="1:24" ht="24" customHeight="1">
      <c r="A60" s="372"/>
      <c r="B60" s="373"/>
      <c r="C60" s="373"/>
      <c r="D60" s="373"/>
      <c r="E60" s="374"/>
      <c r="F60" s="149"/>
      <c r="G60" s="125" t="s">
        <v>82</v>
      </c>
      <c r="H60" s="148"/>
      <c r="I60" s="150" t="s">
        <v>82</v>
      </c>
      <c r="K60" s="50"/>
      <c r="L60" s="96" t="s">
        <v>48</v>
      </c>
      <c r="M60" s="96" t="s">
        <v>44</v>
      </c>
      <c r="N60" s="96" t="s">
        <v>58</v>
      </c>
      <c r="O60" s="35" t="s">
        <v>45</v>
      </c>
      <c r="P60" s="95" t="s">
        <v>36</v>
      </c>
      <c r="Q60" s="95" t="s">
        <v>46</v>
      </c>
      <c r="R60" s="52"/>
      <c r="S60" s="52"/>
      <c r="T60" s="53"/>
    </row>
    <row r="61" spans="1:24">
      <c r="A61" s="154" t="s">
        <v>85</v>
      </c>
      <c r="B61" s="155"/>
      <c r="C61" s="155"/>
      <c r="D61" s="155"/>
      <c r="E61" s="156"/>
      <c r="F61" s="16">
        <f>D10</f>
        <v>2595.1799999999998</v>
      </c>
      <c r="G61" s="16">
        <f>D10</f>
        <v>2595.1799999999998</v>
      </c>
      <c r="H61" s="16">
        <f>H10</f>
        <v>1799.53</v>
      </c>
      <c r="I61" s="16">
        <f>H10</f>
        <v>1799.53</v>
      </c>
      <c r="K61" s="44" t="s">
        <v>117</v>
      </c>
      <c r="L61" s="114">
        <f>P56</f>
        <v>4331.1220967556474</v>
      </c>
      <c r="M61" s="97">
        <v>0.5</v>
      </c>
      <c r="N61" s="97">
        <v>0.08</v>
      </c>
      <c r="O61" s="98">
        <f>(L61*M61)*N61</f>
        <v>173.24488387022589</v>
      </c>
      <c r="P61" s="99">
        <v>0.5</v>
      </c>
      <c r="Q61" s="8">
        <f>O61*P61</f>
        <v>86.622441935112946</v>
      </c>
      <c r="R61" s="52"/>
      <c r="S61" s="52"/>
      <c r="T61" s="53"/>
    </row>
    <row r="62" spans="1:24">
      <c r="A62" s="346" t="s">
        <v>86</v>
      </c>
      <c r="B62" s="347"/>
      <c r="C62" s="347"/>
      <c r="D62" s="347"/>
      <c r="E62" s="348"/>
      <c r="F62" s="152">
        <v>0</v>
      </c>
      <c r="G62" s="152">
        <f>F62</f>
        <v>0</v>
      </c>
      <c r="H62" s="152">
        <f>F62</f>
        <v>0</v>
      </c>
      <c r="I62" s="152">
        <f>F62</f>
        <v>0</v>
      </c>
      <c r="K62" s="44" t="s">
        <v>118</v>
      </c>
      <c r="L62" s="16">
        <f>P57</f>
        <v>3238.4773542505131</v>
      </c>
      <c r="M62" s="97">
        <v>0.5</v>
      </c>
      <c r="N62" s="97">
        <v>0.08</v>
      </c>
      <c r="O62" s="98">
        <f>(L62*M62)*N62</f>
        <v>129.53909417002052</v>
      </c>
      <c r="P62" s="99">
        <v>0.5</v>
      </c>
      <c r="Q62" s="8">
        <f>O62*P62</f>
        <v>64.769547085010259</v>
      </c>
      <c r="R62" s="50"/>
      <c r="S62" s="52"/>
      <c r="T62" s="53"/>
    </row>
    <row r="63" spans="1:24">
      <c r="A63" s="366" t="s">
        <v>87</v>
      </c>
      <c r="B63" s="367"/>
      <c r="C63" s="367"/>
      <c r="D63" s="367"/>
      <c r="E63" s="368"/>
      <c r="F63" s="193">
        <v>0</v>
      </c>
      <c r="G63" s="193">
        <v>0</v>
      </c>
      <c r="H63" s="193">
        <v>0</v>
      </c>
      <c r="I63" s="193">
        <v>0</v>
      </c>
    </row>
    <row r="64" spans="1:24">
      <c r="A64" s="346" t="s">
        <v>88</v>
      </c>
      <c r="B64" s="347"/>
      <c r="C64" s="347"/>
      <c r="D64" s="347"/>
      <c r="E64" s="348"/>
      <c r="F64" s="152">
        <f>F24</f>
        <v>504.50299199999995</v>
      </c>
      <c r="G64" s="152">
        <f>F64</f>
        <v>504.50299199999995</v>
      </c>
      <c r="H64" s="152">
        <f>G24</f>
        <v>349.82863199999997</v>
      </c>
      <c r="I64" s="152">
        <f>H64</f>
        <v>349.82863199999997</v>
      </c>
      <c r="K64" s="365" t="s">
        <v>65</v>
      </c>
      <c r="L64" s="365"/>
      <c r="M64" s="365"/>
      <c r="N64" s="365"/>
      <c r="O64" s="365"/>
      <c r="P64" s="365"/>
      <c r="Q64" s="365"/>
      <c r="R64" s="365"/>
      <c r="S64" s="365"/>
      <c r="T64" s="365"/>
    </row>
    <row r="65" spans="1:18">
      <c r="A65" s="346" t="s">
        <v>109</v>
      </c>
      <c r="B65" s="347"/>
      <c r="C65" s="347"/>
      <c r="D65" s="347"/>
      <c r="E65" s="348"/>
      <c r="F65" s="16">
        <f>F34</f>
        <v>960.90172751999989</v>
      </c>
      <c r="G65" s="16">
        <f>I34</f>
        <v>960.90172751999989</v>
      </c>
      <c r="H65" s="16">
        <f>G34</f>
        <v>666.30117591999999</v>
      </c>
      <c r="I65" s="16">
        <f>J34</f>
        <v>666.30117591999999</v>
      </c>
      <c r="K65" s="364" t="s">
        <v>74</v>
      </c>
      <c r="L65" s="364"/>
      <c r="M65" s="364"/>
      <c r="N65" s="364"/>
      <c r="O65" s="360" t="s">
        <v>117</v>
      </c>
      <c r="P65" s="361"/>
      <c r="Q65" s="362" t="s">
        <v>118</v>
      </c>
      <c r="R65" s="363"/>
    </row>
    <row r="66" spans="1:18">
      <c r="A66" s="346" t="s">
        <v>89</v>
      </c>
      <c r="B66" s="347"/>
      <c r="C66" s="347"/>
      <c r="D66" s="347"/>
      <c r="E66" s="348"/>
      <c r="F66" s="153">
        <f>F43</f>
        <v>515.64839517176961</v>
      </c>
      <c r="G66" s="153">
        <f>I43</f>
        <v>509.46685759476753</v>
      </c>
      <c r="H66" s="153">
        <f>G43</f>
        <v>375.2456781882272</v>
      </c>
      <c r="I66" s="153">
        <f>J43</f>
        <v>370.95932336276519</v>
      </c>
      <c r="K66" s="364"/>
      <c r="L66" s="364"/>
      <c r="M66" s="364"/>
      <c r="N66" s="364"/>
      <c r="O66" s="110"/>
      <c r="P66" s="107" t="s">
        <v>28</v>
      </c>
      <c r="Q66" s="110"/>
      <c r="R66" s="107" t="s">
        <v>28</v>
      </c>
    </row>
    <row r="67" spans="1:18">
      <c r="A67" s="346" t="s">
        <v>91</v>
      </c>
      <c r="B67" s="347"/>
      <c r="C67" s="347"/>
      <c r="D67" s="347"/>
      <c r="E67" s="348"/>
      <c r="F67" s="127">
        <f>F49</f>
        <v>46.012127406036818</v>
      </c>
      <c r="G67" s="127">
        <f>I49</f>
        <v>43.878693077169096</v>
      </c>
      <c r="H67" s="127">
        <f>G49</f>
        <v>33.462338691275143</v>
      </c>
      <c r="I67" s="127">
        <f>J49</f>
        <v>31.960587542505071</v>
      </c>
      <c r="K67" s="158">
        <v>1</v>
      </c>
      <c r="L67" s="357" t="s">
        <v>66</v>
      </c>
      <c r="M67" s="357"/>
      <c r="N67" s="357"/>
      <c r="O67" s="45">
        <f>D10</f>
        <v>2595.1799999999998</v>
      </c>
      <c r="P67" s="111">
        <f t="shared" ref="P67:P69" si="1">O67</f>
        <v>2595.1799999999998</v>
      </c>
      <c r="Q67" s="45">
        <f>H10</f>
        <v>1799.53</v>
      </c>
      <c r="R67" s="112">
        <f>Q67</f>
        <v>1799.53</v>
      </c>
    </row>
    <row r="68" spans="1:18">
      <c r="E68" s="221" t="s">
        <v>187</v>
      </c>
      <c r="F68" s="220">
        <f>SUM(F61:F67)</f>
        <v>4622.2452420978061</v>
      </c>
      <c r="G68" s="222">
        <f>SUM(G61:G67)</f>
        <v>4613.9302701919369</v>
      </c>
      <c r="H68" s="254">
        <f>SUM(H61:H67)</f>
        <v>3224.3678247995022</v>
      </c>
      <c r="K68" s="158">
        <v>2</v>
      </c>
      <c r="L68" s="357" t="s">
        <v>67</v>
      </c>
      <c r="M68" s="357"/>
      <c r="N68" s="357"/>
      <c r="O68" s="113">
        <f>E15-(E15*0.2)</f>
        <v>102.944</v>
      </c>
      <c r="P68" s="111">
        <f t="shared" si="1"/>
        <v>102.944</v>
      </c>
      <c r="Q68" s="45">
        <f>O68</f>
        <v>102.944</v>
      </c>
      <c r="R68" s="112">
        <f>O68</f>
        <v>102.944</v>
      </c>
    </row>
    <row r="69" spans="1:18">
      <c r="K69" s="158">
        <v>3</v>
      </c>
      <c r="L69" s="357" t="s">
        <v>68</v>
      </c>
      <c r="M69" s="357"/>
      <c r="N69" s="357"/>
      <c r="O69" s="45">
        <f>D18</f>
        <v>0</v>
      </c>
      <c r="P69" s="111">
        <f t="shared" si="1"/>
        <v>0</v>
      </c>
      <c r="Q69" s="45">
        <v>0</v>
      </c>
      <c r="R69" s="112">
        <v>0</v>
      </c>
    </row>
    <row r="70" spans="1:18">
      <c r="K70" s="158">
        <v>4</v>
      </c>
      <c r="L70" s="357" t="s">
        <v>19</v>
      </c>
      <c r="M70" s="357"/>
      <c r="N70" s="357"/>
      <c r="O70" s="45">
        <v>0</v>
      </c>
      <c r="P70" s="111">
        <v>0</v>
      </c>
      <c r="Q70" s="45">
        <v>0</v>
      </c>
      <c r="R70" s="112">
        <v>0</v>
      </c>
    </row>
    <row r="71" spans="1:18">
      <c r="K71" s="158">
        <v>5</v>
      </c>
      <c r="L71" s="357" t="s">
        <v>69</v>
      </c>
      <c r="M71" s="357"/>
      <c r="N71" s="357"/>
      <c r="O71" s="45">
        <f>F22</f>
        <v>216.17849399999997</v>
      </c>
      <c r="P71" s="111">
        <f>O71</f>
        <v>216.17849399999997</v>
      </c>
      <c r="Q71" s="45">
        <f>G22</f>
        <v>149.90084899999999</v>
      </c>
      <c r="R71" s="112">
        <f>Q71</f>
        <v>149.90084899999999</v>
      </c>
    </row>
    <row r="72" spans="1:18">
      <c r="K72" s="158">
        <v>6</v>
      </c>
      <c r="L72" s="357" t="s">
        <v>70</v>
      </c>
      <c r="M72" s="357"/>
      <c r="N72" s="357"/>
      <c r="O72" s="45">
        <f>E14</f>
        <v>372.53999999999996</v>
      </c>
      <c r="P72" s="111">
        <f>O72</f>
        <v>372.53999999999996</v>
      </c>
      <c r="Q72" s="45">
        <f>O72</f>
        <v>372.53999999999996</v>
      </c>
      <c r="R72" s="112">
        <f>O72</f>
        <v>372.53999999999996</v>
      </c>
    </row>
    <row r="73" spans="1:18">
      <c r="K73" s="158">
        <v>7</v>
      </c>
      <c r="L73" s="357" t="s">
        <v>71</v>
      </c>
      <c r="M73" s="357"/>
      <c r="N73" s="357"/>
      <c r="O73" s="113">
        <v>0</v>
      </c>
      <c r="P73" s="111">
        <v>0</v>
      </c>
      <c r="Q73" s="45">
        <v>0</v>
      </c>
      <c r="R73" s="112">
        <v>0</v>
      </c>
    </row>
    <row r="74" spans="1:18">
      <c r="K74" s="158">
        <v>8</v>
      </c>
      <c r="L74" s="435" t="s">
        <v>127</v>
      </c>
      <c r="M74" s="435"/>
      <c r="N74" s="435"/>
      <c r="O74" s="45">
        <f>F43</f>
        <v>515.64839517176961</v>
      </c>
      <c r="P74" s="111">
        <f>I43</f>
        <v>509.46685759476753</v>
      </c>
      <c r="Q74" s="45">
        <f>G43</f>
        <v>375.2456781882272</v>
      </c>
      <c r="R74" s="112">
        <f>J43</f>
        <v>370.95932336276519</v>
      </c>
    </row>
    <row r="75" spans="1:18">
      <c r="K75" s="158">
        <v>9</v>
      </c>
      <c r="L75" s="357" t="s">
        <v>72</v>
      </c>
      <c r="M75" s="357"/>
      <c r="N75" s="357"/>
      <c r="O75" s="45">
        <f>P25</f>
        <v>72.146004000000033</v>
      </c>
      <c r="P75" s="111">
        <f>O75</f>
        <v>72.146004000000033</v>
      </c>
      <c r="Q75" s="45">
        <f>Q25</f>
        <v>49.986944444444447</v>
      </c>
      <c r="R75" s="112">
        <f>Q75</f>
        <v>49.986944444444447</v>
      </c>
    </row>
    <row r="76" spans="1:18">
      <c r="K76" s="158">
        <v>10</v>
      </c>
      <c r="L76" s="357" t="s">
        <v>73</v>
      </c>
      <c r="M76" s="357"/>
      <c r="N76" s="357"/>
      <c r="O76" s="45">
        <f>P45+P46</f>
        <v>955.02623999999992</v>
      </c>
      <c r="P76" s="111">
        <f>Q45+Q46</f>
        <v>804.50579999999991</v>
      </c>
      <c r="Q76" s="45">
        <f>R45+R46</f>
        <v>662.22703999999999</v>
      </c>
      <c r="R76" s="112">
        <f>S45+S46</f>
        <v>557.85429999999997</v>
      </c>
    </row>
    <row r="77" spans="1:18">
      <c r="K77" s="27"/>
      <c r="L77" s="2"/>
      <c r="M77" s="106"/>
      <c r="N77" s="109"/>
      <c r="O77" s="162">
        <f>SUM(O66:O76)</f>
        <v>4829.663133171769</v>
      </c>
      <c r="P77" s="164">
        <f>SUM(P67:P76)</f>
        <v>4672.9611555947668</v>
      </c>
      <c r="Q77" s="162">
        <f>SUM(Q67:Q76)</f>
        <v>3512.3745116326718</v>
      </c>
      <c r="R77" s="163">
        <f>SUM(R67:R76)</f>
        <v>3403.7154168072093</v>
      </c>
    </row>
    <row r="78" spans="1:18" ht="39">
      <c r="L78" s="14"/>
      <c r="M78" s="13"/>
      <c r="N78" s="131" t="s">
        <v>79</v>
      </c>
      <c r="O78" s="132" t="s">
        <v>80</v>
      </c>
      <c r="P78" s="132" t="s">
        <v>81</v>
      </c>
      <c r="Q78" s="134" t="s">
        <v>2</v>
      </c>
    </row>
    <row r="79" spans="1:18">
      <c r="K79" s="349" t="s">
        <v>117</v>
      </c>
      <c r="L79" s="350"/>
      <c r="M79" s="133"/>
      <c r="N79" s="160">
        <f>O77</f>
        <v>4829.663133171769</v>
      </c>
      <c r="O79" s="128">
        <v>7.2199999999999999E-3</v>
      </c>
      <c r="P79" s="128">
        <f>1-O79</f>
        <v>0.99278</v>
      </c>
      <c r="Q79" s="137">
        <f>(N79*O79)/P79</f>
        <v>35.123761378654059</v>
      </c>
    </row>
    <row r="80" spans="1:18">
      <c r="K80" s="351"/>
      <c r="L80" s="352"/>
      <c r="M80" s="107" t="s">
        <v>82</v>
      </c>
      <c r="N80" s="161">
        <f>P77</f>
        <v>4672.9611555947668</v>
      </c>
      <c r="O80" s="135">
        <f>O79</f>
        <v>7.2199999999999999E-3</v>
      </c>
      <c r="P80" s="135">
        <f>1-O80</f>
        <v>0.99278</v>
      </c>
      <c r="Q80" s="138">
        <f>(N80*O80)*P80</f>
        <v>33.495185555090913</v>
      </c>
    </row>
    <row r="81" spans="11:17">
      <c r="K81" s="349" t="s">
        <v>118</v>
      </c>
      <c r="L81" s="350"/>
      <c r="M81" s="133"/>
      <c r="N81" s="160">
        <f>Q77</f>
        <v>3512.3745116326718</v>
      </c>
      <c r="O81" s="128">
        <v>7.2199999999999999E-3</v>
      </c>
      <c r="P81" s="128">
        <f>1-O81</f>
        <v>0.99278</v>
      </c>
      <c r="Q81" s="137">
        <f>(N81*O81)/P81</f>
        <v>25.543769993339804</v>
      </c>
    </row>
    <row r="82" spans="11:17">
      <c r="K82" s="351"/>
      <c r="L82" s="352"/>
      <c r="M82" s="107" t="s">
        <v>82</v>
      </c>
      <c r="N82" s="161">
        <f>R77</f>
        <v>3403.7154168072093</v>
      </c>
      <c r="O82" s="135">
        <f>O81</f>
        <v>7.2199999999999999E-3</v>
      </c>
      <c r="P82" s="135">
        <f>1-O82</f>
        <v>0.99278</v>
      </c>
      <c r="Q82" s="138">
        <f>(N82*O82)*P82</f>
        <v>24.397395070614557</v>
      </c>
    </row>
    <row r="83" spans="11:17">
      <c r="K83" s="136" t="s">
        <v>75</v>
      </c>
    </row>
  </sheetData>
  <mergeCells count="114">
    <mergeCell ref="G46:G47"/>
    <mergeCell ref="L71:N71"/>
    <mergeCell ref="L72:N72"/>
    <mergeCell ref="L73:N73"/>
    <mergeCell ref="L74:N74"/>
    <mergeCell ref="A21:E21"/>
    <mergeCell ref="D22:E22"/>
    <mergeCell ref="D23:E23"/>
    <mergeCell ref="A24:E24"/>
    <mergeCell ref="D27:E27"/>
    <mergeCell ref="A22:C22"/>
    <mergeCell ref="A23:C23"/>
    <mergeCell ref="A33:E33"/>
    <mergeCell ref="A34:E34"/>
    <mergeCell ref="K35:S36"/>
    <mergeCell ref="D30:E30"/>
    <mergeCell ref="H46:H47"/>
    <mergeCell ref="I46:I47"/>
    <mergeCell ref="J46:J47"/>
    <mergeCell ref="A41:E41"/>
    <mergeCell ref="A43:E43"/>
    <mergeCell ref="A37:D37"/>
    <mergeCell ref="A38:D38"/>
    <mergeCell ref="A40:D40"/>
    <mergeCell ref="R14:R18"/>
    <mergeCell ref="S14:S18"/>
    <mergeCell ref="L39:O40"/>
    <mergeCell ref="F2:I2"/>
    <mergeCell ref="P39:Q39"/>
    <mergeCell ref="R39:S39"/>
    <mergeCell ref="L22:O22"/>
    <mergeCell ref="L38:S38"/>
    <mergeCell ref="L54:L55"/>
    <mergeCell ref="K11:S11"/>
    <mergeCell ref="M54:M55"/>
    <mergeCell ref="N54:N55"/>
    <mergeCell ref="O54:O55"/>
    <mergeCell ref="P54:P55"/>
    <mergeCell ref="Q54:Q55"/>
    <mergeCell ref="K12:S12"/>
    <mergeCell ref="L14:L18"/>
    <mergeCell ref="M14:M18"/>
    <mergeCell ref="N14:N18"/>
    <mergeCell ref="O14:O18"/>
    <mergeCell ref="P14:P18"/>
    <mergeCell ref="F46:F47"/>
    <mergeCell ref="O31:O32"/>
    <mergeCell ref="P31:P32"/>
    <mergeCell ref="A26:E26"/>
    <mergeCell ref="L30:P30"/>
    <mergeCell ref="L31:L32"/>
    <mergeCell ref="M31:M32"/>
    <mergeCell ref="N31:N32"/>
    <mergeCell ref="F1:I1"/>
    <mergeCell ref="A3:C3"/>
    <mergeCell ref="A13:D13"/>
    <mergeCell ref="A15:D15"/>
    <mergeCell ref="A12:D12"/>
    <mergeCell ref="A7:C7"/>
    <mergeCell ref="A8:C8"/>
    <mergeCell ref="A9:C9"/>
    <mergeCell ref="A10:C10"/>
    <mergeCell ref="A1:E1"/>
    <mergeCell ref="A4:C4"/>
    <mergeCell ref="A5:C5"/>
    <mergeCell ref="A6:C6"/>
    <mergeCell ref="A2:E2"/>
    <mergeCell ref="F10:G10"/>
    <mergeCell ref="A36:E36"/>
    <mergeCell ref="A45:E45"/>
    <mergeCell ref="A46:E47"/>
    <mergeCell ref="A48:D48"/>
    <mergeCell ref="A49:E49"/>
    <mergeCell ref="A16:D16"/>
    <mergeCell ref="A17:D17"/>
    <mergeCell ref="A18:D18"/>
    <mergeCell ref="Q31:Q32"/>
    <mergeCell ref="L23:O23"/>
    <mergeCell ref="L24:O24"/>
    <mergeCell ref="L25:O25"/>
    <mergeCell ref="L26:N26"/>
    <mergeCell ref="D29:E29"/>
    <mergeCell ref="A32:C32"/>
    <mergeCell ref="A30:C30"/>
    <mergeCell ref="A29:C29"/>
    <mergeCell ref="A31:C31"/>
    <mergeCell ref="A27:C27"/>
    <mergeCell ref="A28:C28"/>
    <mergeCell ref="Q14:Q18"/>
    <mergeCell ref="D28:E28"/>
    <mergeCell ref="D31:E31"/>
    <mergeCell ref="D32:E32"/>
    <mergeCell ref="A66:E66"/>
    <mergeCell ref="A67:E67"/>
    <mergeCell ref="K81:L82"/>
    <mergeCell ref="K79:L80"/>
    <mergeCell ref="F59:G59"/>
    <mergeCell ref="H59:I59"/>
    <mergeCell ref="A62:E62"/>
    <mergeCell ref="L68:N68"/>
    <mergeCell ref="L69:N69"/>
    <mergeCell ref="L70:N70"/>
    <mergeCell ref="L59:T59"/>
    <mergeCell ref="L75:N75"/>
    <mergeCell ref="O65:P65"/>
    <mergeCell ref="Q65:R65"/>
    <mergeCell ref="K65:N66"/>
    <mergeCell ref="L67:N67"/>
    <mergeCell ref="L76:N76"/>
    <mergeCell ref="K64:T64"/>
    <mergeCell ref="A65:E65"/>
    <mergeCell ref="A64:E64"/>
    <mergeCell ref="A63:E63"/>
    <mergeCell ref="A59:E60"/>
  </mergeCells>
  <pageMargins left="0.11811023622047245" right="0.11811023622047245" top="0.78740157480314965" bottom="0.78740157480314965" header="0.31496062992125984" footer="0.31496062992125984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J15" sqref="J15"/>
    </sheetView>
  </sheetViews>
  <sheetFormatPr defaultRowHeight="15"/>
  <cols>
    <col min="2" max="2" width="18.28515625" customWidth="1"/>
    <col min="3" max="3" width="9.140625" customWidth="1"/>
    <col min="11" max="11" width="11.85546875" customWidth="1"/>
  </cols>
  <sheetData>
    <row r="1" spans="1:11" s="172" customFormat="1"/>
    <row r="2" spans="1:11">
      <c r="A2" s="473" t="s">
        <v>153</v>
      </c>
      <c r="B2" s="474"/>
      <c r="C2" s="477" t="s">
        <v>131</v>
      </c>
      <c r="D2" s="478"/>
      <c r="E2" s="477" t="s">
        <v>139</v>
      </c>
      <c r="F2" s="478"/>
      <c r="G2" s="477" t="s">
        <v>258</v>
      </c>
      <c r="H2" s="478"/>
    </row>
    <row r="3" spans="1:11">
      <c r="A3" s="475"/>
      <c r="B3" s="476"/>
      <c r="C3" s="479"/>
      <c r="D3" s="480"/>
      <c r="E3" s="479"/>
      <c r="F3" s="480"/>
      <c r="G3" s="479"/>
      <c r="H3" s="480"/>
    </row>
    <row r="4" spans="1:11">
      <c r="A4" s="469" t="s">
        <v>108</v>
      </c>
      <c r="B4" s="470"/>
      <c r="C4" s="469" t="s">
        <v>20</v>
      </c>
      <c r="D4" s="470"/>
      <c r="E4" s="469" t="s">
        <v>20</v>
      </c>
      <c r="F4" s="470"/>
      <c r="G4" s="469" t="s">
        <v>20</v>
      </c>
      <c r="H4" s="470"/>
      <c r="I4" s="232" t="s">
        <v>215</v>
      </c>
      <c r="J4" s="232" t="s">
        <v>93</v>
      </c>
      <c r="K4" s="232" t="s">
        <v>216</v>
      </c>
    </row>
    <row r="5" spans="1:11">
      <c r="A5" s="468" t="s">
        <v>147</v>
      </c>
      <c r="B5" s="468"/>
      <c r="C5" s="471">
        <f>C14</f>
        <v>4.8233333333333333</v>
      </c>
      <c r="D5" s="472"/>
      <c r="E5" s="471">
        <f>C14</f>
        <v>4.8233333333333333</v>
      </c>
      <c r="F5" s="472"/>
      <c r="G5" s="471">
        <f>E14</f>
        <v>6.7933333333333339</v>
      </c>
      <c r="H5" s="472"/>
      <c r="I5" s="130">
        <f>C5</f>
        <v>4.8233333333333333</v>
      </c>
      <c r="J5" s="130">
        <f>E5</f>
        <v>4.8233333333333333</v>
      </c>
      <c r="K5" s="130">
        <f>G5</f>
        <v>6.7933333333333339</v>
      </c>
    </row>
    <row r="6" spans="1:11">
      <c r="A6" s="468" t="s">
        <v>217</v>
      </c>
      <c r="B6" s="468"/>
      <c r="C6" s="464">
        <v>3</v>
      </c>
      <c r="D6" s="465"/>
      <c r="E6" s="466">
        <v>4.5</v>
      </c>
      <c r="F6" s="467"/>
      <c r="G6" s="466">
        <v>8</v>
      </c>
      <c r="H6" s="467"/>
      <c r="I6" s="207">
        <f>C6</f>
        <v>3</v>
      </c>
      <c r="J6" s="207">
        <f>E6</f>
        <v>4.5</v>
      </c>
      <c r="K6" s="207">
        <f>G6</f>
        <v>8</v>
      </c>
    </row>
    <row r="7" spans="1:11">
      <c r="A7" s="468" t="s">
        <v>154</v>
      </c>
      <c r="B7" s="468"/>
      <c r="C7" s="460">
        <f>C5/C6</f>
        <v>1.6077777777777778</v>
      </c>
      <c r="D7" s="461"/>
      <c r="E7" s="460">
        <f>E5/E6</f>
        <v>1.0718518518518518</v>
      </c>
      <c r="F7" s="461"/>
      <c r="G7" s="460">
        <f>G5/G6</f>
        <v>0.84916666666666674</v>
      </c>
      <c r="H7" s="461"/>
      <c r="I7" s="208">
        <f>C7</f>
        <v>1.6077777777777778</v>
      </c>
      <c r="J7" s="208">
        <f>E7</f>
        <v>1.0718518518518518</v>
      </c>
      <c r="K7" s="208">
        <f>G7</f>
        <v>0.84916666666666674</v>
      </c>
    </row>
    <row r="8" spans="1:11" s="172" customFormat="1">
      <c r="A8" s="197"/>
      <c r="B8" s="197"/>
      <c r="C8" s="199"/>
      <c r="D8" s="199"/>
      <c r="E8" s="199"/>
      <c r="F8" s="199"/>
      <c r="G8" s="199"/>
      <c r="H8" s="199"/>
    </row>
    <row r="9" spans="1:11" s="172" customFormat="1">
      <c r="A9" s="481" t="s">
        <v>155</v>
      </c>
      <c r="B9" s="481"/>
      <c r="C9" s="483" t="s">
        <v>148</v>
      </c>
      <c r="D9" s="484"/>
      <c r="E9" s="456" t="s">
        <v>149</v>
      </c>
      <c r="F9" s="456"/>
      <c r="G9" s="456" t="s">
        <v>150</v>
      </c>
      <c r="H9" s="456"/>
    </row>
    <row r="10" spans="1:11" s="172" customFormat="1">
      <c r="A10" s="482" t="s">
        <v>253</v>
      </c>
      <c r="B10" s="482"/>
      <c r="C10" s="460">
        <v>4.79</v>
      </c>
      <c r="D10" s="461"/>
      <c r="E10" s="460">
        <v>6.79</v>
      </c>
      <c r="F10" s="461"/>
      <c r="G10" s="457">
        <v>44461</v>
      </c>
      <c r="H10" s="458"/>
    </row>
    <row r="11" spans="1:11" s="172" customFormat="1">
      <c r="A11" s="482" t="s">
        <v>254</v>
      </c>
      <c r="B11" s="482"/>
      <c r="C11" s="460">
        <v>4.79</v>
      </c>
      <c r="D11" s="461"/>
      <c r="E11" s="460">
        <v>6.69</v>
      </c>
      <c r="F11" s="461"/>
      <c r="G11" s="457">
        <v>44461</v>
      </c>
      <c r="H11" s="458"/>
    </row>
    <row r="12" spans="1:11" s="172" customFormat="1">
      <c r="A12" s="482" t="s">
        <v>255</v>
      </c>
      <c r="B12" s="482"/>
      <c r="C12" s="460">
        <v>4.8899999999999997</v>
      </c>
      <c r="D12" s="461"/>
      <c r="E12" s="460">
        <v>6.9</v>
      </c>
      <c r="F12" s="461"/>
      <c r="G12" s="457">
        <v>44461</v>
      </c>
      <c r="H12" s="458"/>
    </row>
    <row r="13" spans="1:11" s="172" customFormat="1">
      <c r="A13" s="482"/>
      <c r="B13" s="482"/>
      <c r="C13" s="460"/>
      <c r="D13" s="461"/>
      <c r="E13" s="460"/>
      <c r="F13" s="461"/>
      <c r="G13" s="457"/>
      <c r="H13" s="458"/>
    </row>
    <row r="14" spans="1:11" s="172" customFormat="1">
      <c r="A14" s="197"/>
      <c r="B14" s="198" t="s">
        <v>158</v>
      </c>
      <c r="C14" s="454">
        <f>SUM(C10:D13)/3</f>
        <v>4.8233333333333333</v>
      </c>
      <c r="D14" s="455"/>
      <c r="E14" s="459">
        <f>SUM(E10:F12)/3</f>
        <v>6.7933333333333339</v>
      </c>
      <c r="F14" s="455"/>
      <c r="G14" s="199"/>
      <c r="H14" s="199"/>
    </row>
    <row r="15" spans="1:11">
      <c r="A15" s="169"/>
      <c r="B15" s="169"/>
      <c r="C15" s="169"/>
      <c r="D15" s="169"/>
      <c r="E15" s="169"/>
      <c r="F15" s="169"/>
      <c r="G15" s="169"/>
      <c r="H15" s="169"/>
    </row>
    <row r="16" spans="1:11">
      <c r="A16" s="473" t="s">
        <v>151</v>
      </c>
      <c r="B16" s="474"/>
      <c r="C16" s="477" t="s">
        <v>131</v>
      </c>
      <c r="D16" s="478"/>
      <c r="E16" s="477" t="s">
        <v>139</v>
      </c>
      <c r="F16" s="478"/>
      <c r="G16" s="477" t="s">
        <v>258</v>
      </c>
      <c r="H16" s="478"/>
    </row>
    <row r="17" spans="1:11">
      <c r="A17" s="475"/>
      <c r="B17" s="476"/>
      <c r="C17" s="479"/>
      <c r="D17" s="480"/>
      <c r="E17" s="479"/>
      <c r="F17" s="480"/>
      <c r="G17" s="479"/>
      <c r="H17" s="480"/>
    </row>
    <row r="18" spans="1:11">
      <c r="A18" s="469" t="s">
        <v>108</v>
      </c>
      <c r="B18" s="470"/>
      <c r="C18" s="469" t="s">
        <v>20</v>
      </c>
      <c r="D18" s="470"/>
      <c r="E18" s="469" t="s">
        <v>20</v>
      </c>
      <c r="F18" s="470"/>
      <c r="G18" s="469" t="s">
        <v>20</v>
      </c>
      <c r="H18" s="470"/>
    </row>
    <row r="19" spans="1:11">
      <c r="A19" s="468" t="s">
        <v>157</v>
      </c>
      <c r="B19" s="468"/>
      <c r="C19" s="471">
        <f>C14</f>
        <v>4.8233333333333333</v>
      </c>
      <c r="D19" s="472"/>
      <c r="E19" s="471">
        <f>C14</f>
        <v>4.8233333333333333</v>
      </c>
      <c r="F19" s="472"/>
      <c r="G19" s="471">
        <f>E14</f>
        <v>6.7933333333333339</v>
      </c>
      <c r="H19" s="472"/>
    </row>
    <row r="20" spans="1:11" ht="24.75" customHeight="1">
      <c r="A20" s="462" t="s">
        <v>156</v>
      </c>
      <c r="B20" s="463"/>
      <c r="C20" s="464">
        <v>0.05</v>
      </c>
      <c r="D20" s="465"/>
      <c r="E20" s="466">
        <v>0.05</v>
      </c>
      <c r="F20" s="467"/>
      <c r="G20" s="466">
        <v>0.05</v>
      </c>
      <c r="H20" s="467"/>
      <c r="I20" s="256" t="s">
        <v>221</v>
      </c>
      <c r="J20" s="256" t="s">
        <v>222</v>
      </c>
      <c r="K20" s="256" t="s">
        <v>223</v>
      </c>
    </row>
    <row r="21" spans="1:11">
      <c r="A21" s="468" t="s">
        <v>159</v>
      </c>
      <c r="B21" s="468"/>
      <c r="C21" s="460">
        <f>C19*C20</f>
        <v>0.24116666666666667</v>
      </c>
      <c r="D21" s="461"/>
      <c r="E21" s="460">
        <f>E19*E20</f>
        <v>0.24116666666666667</v>
      </c>
      <c r="F21" s="461"/>
      <c r="G21" s="460">
        <f>G19*G20</f>
        <v>0.33966666666666673</v>
      </c>
      <c r="H21" s="461"/>
      <c r="I21" s="208">
        <f>C21</f>
        <v>0.24116666666666667</v>
      </c>
      <c r="J21" s="208">
        <f>E21</f>
        <v>0.24116666666666667</v>
      </c>
      <c r="K21" s="130">
        <f>G21</f>
        <v>0.33966666666666673</v>
      </c>
    </row>
    <row r="22" spans="1:11" s="172" customFormat="1">
      <c r="A22" s="452" t="s">
        <v>152</v>
      </c>
      <c r="B22" s="452"/>
      <c r="C22" s="452"/>
      <c r="D22" s="452"/>
      <c r="E22" s="452"/>
      <c r="F22" s="452"/>
      <c r="G22" s="452"/>
      <c r="H22" s="452"/>
    </row>
    <row r="23" spans="1:11" s="172" customFormat="1" ht="15" customHeight="1">
      <c r="A23" s="453"/>
      <c r="B23" s="453"/>
      <c r="C23" s="453"/>
      <c r="D23" s="453"/>
      <c r="E23" s="453"/>
      <c r="F23" s="453"/>
      <c r="G23" s="453"/>
      <c r="H23" s="453"/>
    </row>
    <row r="24" spans="1:11" s="172" customFormat="1">
      <c r="A24" s="453"/>
      <c r="B24" s="453"/>
      <c r="C24" s="453"/>
      <c r="D24" s="453"/>
      <c r="E24" s="453"/>
      <c r="F24" s="453"/>
      <c r="G24" s="453"/>
      <c r="H24" s="453"/>
    </row>
  </sheetData>
  <mergeCells count="63">
    <mergeCell ref="A2:B3"/>
    <mergeCell ref="C2:D3"/>
    <mergeCell ref="E2:F3"/>
    <mergeCell ref="G2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16:B17"/>
    <mergeCell ref="C16:D17"/>
    <mergeCell ref="E16:F17"/>
    <mergeCell ref="G16:H17"/>
    <mergeCell ref="E9:F9"/>
    <mergeCell ref="C10:D10"/>
    <mergeCell ref="A9:B9"/>
    <mergeCell ref="A10:B10"/>
    <mergeCell ref="A11:B11"/>
    <mergeCell ref="A12:B12"/>
    <mergeCell ref="A13:B13"/>
    <mergeCell ref="C9:D9"/>
    <mergeCell ref="A18:B18"/>
    <mergeCell ref="C18:D18"/>
    <mergeCell ref="E18:F18"/>
    <mergeCell ref="G18:H18"/>
    <mergeCell ref="A19:B19"/>
    <mergeCell ref="C19:D19"/>
    <mergeCell ref="E19:F19"/>
    <mergeCell ref="G19:H19"/>
    <mergeCell ref="C20:D20"/>
    <mergeCell ref="E20:F20"/>
    <mergeCell ref="G20:H20"/>
    <mergeCell ref="A21:B21"/>
    <mergeCell ref="C21:D21"/>
    <mergeCell ref="E21:F21"/>
    <mergeCell ref="G21:H21"/>
    <mergeCell ref="A22:H24"/>
    <mergeCell ref="C14:D14"/>
    <mergeCell ref="G9:H9"/>
    <mergeCell ref="G10:H10"/>
    <mergeCell ref="G11:H11"/>
    <mergeCell ref="G12:H12"/>
    <mergeCell ref="G13:H13"/>
    <mergeCell ref="E14:F14"/>
    <mergeCell ref="C11:D11"/>
    <mergeCell ref="C12:D12"/>
    <mergeCell ref="C13:D13"/>
    <mergeCell ref="E10:F10"/>
    <mergeCell ref="E11:F11"/>
    <mergeCell ref="E12:F12"/>
    <mergeCell ref="E13:F13"/>
    <mergeCell ref="A20:B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25" workbookViewId="0">
      <selection activeCell="K43" sqref="K43"/>
    </sheetView>
  </sheetViews>
  <sheetFormatPr defaultRowHeight="15"/>
  <cols>
    <col min="1" max="10" width="9.140625" customWidth="1"/>
    <col min="14" max="14" width="11.5703125" bestFit="1" customWidth="1"/>
    <col min="15" max="15" width="12.5703125" bestFit="1" customWidth="1"/>
  </cols>
  <sheetData>
    <row r="1" spans="1:15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5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5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5">
      <c r="A4" s="21" t="s">
        <v>160</v>
      </c>
      <c r="B4" s="21"/>
      <c r="C4" s="329" t="s">
        <v>212</v>
      </c>
      <c r="D4" s="329"/>
      <c r="E4" s="329"/>
      <c r="F4" s="329"/>
      <c r="G4" s="329"/>
      <c r="H4" s="329"/>
      <c r="I4" s="329"/>
      <c r="J4" s="329"/>
    </row>
    <row r="5" spans="1:15">
      <c r="A5" s="21" t="s">
        <v>232</v>
      </c>
      <c r="B5" s="21"/>
      <c r="C5" s="21"/>
      <c r="D5" s="21"/>
      <c r="E5" s="21"/>
      <c r="F5" s="21"/>
      <c r="G5" s="267">
        <v>109.64</v>
      </c>
      <c r="H5" s="49"/>
      <c r="I5" s="49"/>
      <c r="J5" s="49"/>
      <c r="K5">
        <f>G5*21</f>
        <v>2302.44</v>
      </c>
    </row>
    <row r="6" spans="1:15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5">
      <c r="A7" s="21" t="s">
        <v>164</v>
      </c>
      <c r="B7" s="21"/>
      <c r="C7" s="21"/>
      <c r="D7" s="21"/>
      <c r="E7" s="200"/>
      <c r="F7" s="21"/>
      <c r="G7" s="235">
        <v>244</v>
      </c>
      <c r="H7" s="21"/>
      <c r="I7" s="21"/>
      <c r="J7" s="21"/>
      <c r="K7" s="1">
        <f>E42</f>
        <v>4.5449290715502197</v>
      </c>
      <c r="N7" s="270"/>
      <c r="O7" s="130"/>
    </row>
    <row r="8" spans="1:15">
      <c r="A8" s="21" t="s">
        <v>165</v>
      </c>
      <c r="B8" s="21"/>
      <c r="C8" s="21"/>
      <c r="D8" s="21"/>
      <c r="E8" s="21"/>
      <c r="F8" s="200"/>
      <c r="G8" s="235">
        <v>12</v>
      </c>
      <c r="H8" s="21"/>
      <c r="I8" s="21"/>
      <c r="J8" s="21"/>
    </row>
    <row r="9" spans="1:15">
      <c r="A9" s="21" t="s">
        <v>166</v>
      </c>
      <c r="B9" s="21"/>
      <c r="C9" s="21"/>
      <c r="D9" s="21"/>
      <c r="E9" s="21"/>
      <c r="F9" s="21"/>
      <c r="G9" s="235">
        <v>21</v>
      </c>
      <c r="H9" s="21"/>
      <c r="I9" s="21"/>
      <c r="J9" s="21"/>
      <c r="L9" s="228"/>
    </row>
    <row r="10" spans="1:15">
      <c r="A10" s="21" t="s">
        <v>167</v>
      </c>
      <c r="B10" s="21"/>
      <c r="C10" s="21"/>
      <c r="D10" s="21"/>
      <c r="E10" s="21"/>
      <c r="F10" s="21"/>
      <c r="G10" s="274">
        <v>15</v>
      </c>
      <c r="H10" s="21"/>
      <c r="I10" s="21"/>
      <c r="J10" s="21"/>
    </row>
    <row r="11" spans="1:15">
      <c r="A11" s="21" t="s">
        <v>169</v>
      </c>
      <c r="B11" s="21"/>
      <c r="C11" s="334" t="s">
        <v>257</v>
      </c>
      <c r="D11" s="334"/>
      <c r="E11" s="334"/>
      <c r="F11" s="334"/>
      <c r="G11" s="334"/>
      <c r="H11" s="21"/>
      <c r="I11" s="265"/>
      <c r="J11" s="21"/>
      <c r="K11" s="270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5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5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5">
      <c r="A16" s="330" t="s">
        <v>260</v>
      </c>
      <c r="B16" s="331"/>
      <c r="C16" s="331"/>
      <c r="D16" s="331"/>
      <c r="E16" s="279">
        <f>'Comb, lub, Man'!K5</f>
        <v>6.7933333333333339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f>'Comb, lub, Man'!K6</f>
        <v>8</v>
      </c>
      <c r="F17" s="218" t="s">
        <v>190</v>
      </c>
      <c r="G17" s="57"/>
      <c r="H17" s="57"/>
      <c r="I17" s="57"/>
      <c r="J17" s="211">
        <f>' Pessoal'!H64</f>
        <v>349.82863199999997</v>
      </c>
      <c r="K17" s="228"/>
    </row>
    <row r="18" spans="1:16">
      <c r="A18" s="218" t="s">
        <v>263</v>
      </c>
      <c r="B18" s="57"/>
      <c r="C18" s="57"/>
      <c r="D18" s="57"/>
      <c r="E18" s="215">
        <f>'Comb, lub, Man'!K7</f>
        <v>0.84916666666666674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30"/>
      <c r="F19" s="231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30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Man'!K21</f>
        <v>0.33966666666666673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30"/>
      <c r="F22" s="218" t="s">
        <v>188</v>
      </c>
      <c r="G22" s="57"/>
      <c r="H22" s="57"/>
      <c r="I22" s="57"/>
      <c r="J22" s="223">
        <f>J21/(G5*21)</f>
        <v>1.4004133983076659</v>
      </c>
    </row>
    <row r="23" spans="1:16">
      <c r="A23" s="214" t="s">
        <v>176</v>
      </c>
      <c r="B23" s="57"/>
      <c r="C23" s="57"/>
      <c r="D23" s="57"/>
      <c r="E23" s="230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depre'!H22</f>
        <v>362.66666666666669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30">
        <v>4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v>0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depre'!G21</f>
        <v>30000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depre'!H27</f>
        <v>4.8355555555555561E-2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460.48800000000006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0.20929883080558018</v>
      </c>
      <c r="F32" s="218" t="s">
        <v>205</v>
      </c>
      <c r="G32" s="57"/>
      <c r="H32" s="57"/>
      <c r="I32" s="57"/>
      <c r="J32" s="223">
        <f>J31/(K5)</f>
        <v>0.32914994527544689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6" t="s">
        <v>236</v>
      </c>
      <c r="B37" s="337"/>
      <c r="C37" s="337"/>
      <c r="D37" s="246"/>
      <c r="E37" s="247">
        <f>E32+E28+E21+E18</f>
        <v>1.4464877196944692</v>
      </c>
      <c r="F37" s="245" t="s">
        <v>208</v>
      </c>
      <c r="G37" s="246"/>
      <c r="H37" s="246"/>
      <c r="I37" s="225"/>
      <c r="J37" s="237">
        <f>J32+J22</f>
        <v>1.7295633435831128</v>
      </c>
    </row>
    <row r="38" spans="1:10">
      <c r="A38" s="248"/>
      <c r="B38" s="240"/>
      <c r="C38" s="240"/>
      <c r="D38" s="240"/>
      <c r="E38" s="249"/>
      <c r="F38" s="239">
        <f>E37+J37+(E37+J37)*E39</f>
        <v>4.2876689354247359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0.35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0.25726013612548415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264</v>
      </c>
      <c r="B42" s="240"/>
      <c r="C42" s="240"/>
      <c r="D42" s="240"/>
      <c r="E42" s="280">
        <f>F38+E40</f>
        <v>4.5449290715502197</v>
      </c>
      <c r="F42" s="240"/>
      <c r="G42" s="240"/>
      <c r="H42" s="240"/>
      <c r="I42" s="21"/>
      <c r="J42" s="21"/>
    </row>
    <row r="43" spans="1:10">
      <c r="A43" s="281" t="s">
        <v>76</v>
      </c>
      <c r="B43" s="282">
        <v>0</v>
      </c>
      <c r="C43" s="240"/>
      <c r="D43" s="281"/>
      <c r="E43" s="283">
        <f>F38*B43</f>
        <v>0</v>
      </c>
      <c r="F43" s="281"/>
      <c r="G43" s="240"/>
      <c r="H43" s="240"/>
      <c r="I43" s="240"/>
      <c r="J43" s="21"/>
    </row>
    <row r="44" spans="1:10">
      <c r="A44" s="281" t="s">
        <v>77</v>
      </c>
      <c r="B44" s="282">
        <v>0</v>
      </c>
      <c r="C44" s="240"/>
      <c r="D44" s="281"/>
      <c r="E44" s="283">
        <v>0</v>
      </c>
      <c r="F44" s="281"/>
      <c r="G44" s="240"/>
      <c r="H44" s="240"/>
      <c r="I44" s="255"/>
      <c r="J44" s="21"/>
    </row>
    <row r="45" spans="1:10">
      <c r="A45" s="281" t="s">
        <v>78</v>
      </c>
      <c r="B45" s="282">
        <v>0.02</v>
      </c>
      <c r="C45" s="240"/>
      <c r="D45" s="281"/>
      <c r="E45" s="283">
        <f>F38*B45</f>
        <v>8.5753378708494726E-2</v>
      </c>
      <c r="F45" s="281"/>
      <c r="G45" s="240"/>
      <c r="H45" s="240"/>
      <c r="I45" s="240"/>
      <c r="J45" s="21"/>
    </row>
    <row r="46" spans="1:10">
      <c r="A46" s="281" t="s">
        <v>22</v>
      </c>
      <c r="B46" s="284">
        <v>0.04</v>
      </c>
      <c r="C46" s="240"/>
      <c r="D46" s="281"/>
      <c r="E46" s="285">
        <f>F38*B46</f>
        <v>0.17150675741698945</v>
      </c>
      <c r="F46" s="281"/>
      <c r="G46" s="240"/>
      <c r="H46" s="240"/>
      <c r="I46" s="240"/>
      <c r="J46" s="21"/>
    </row>
    <row r="47" spans="1:10">
      <c r="A47" s="240"/>
      <c r="B47" s="240"/>
      <c r="C47" s="240"/>
      <c r="D47" s="240"/>
      <c r="E47" s="240"/>
      <c r="F47" s="240"/>
      <c r="G47" s="240"/>
      <c r="H47" s="240"/>
      <c r="I47" s="240"/>
      <c r="J47" s="21"/>
    </row>
    <row r="48" spans="1:10">
      <c r="A48" s="229"/>
      <c r="B48" s="229"/>
      <c r="C48" s="229"/>
      <c r="D48" s="229"/>
      <c r="E48" s="229"/>
      <c r="F48" s="229"/>
      <c r="G48" s="229"/>
      <c r="H48" s="229"/>
      <c r="I48" s="229"/>
    </row>
    <row r="49" spans="1:9">
      <c r="A49" s="229"/>
      <c r="B49" s="229"/>
      <c r="C49" s="229"/>
      <c r="D49" s="229"/>
      <c r="E49" s="229"/>
      <c r="F49" s="229"/>
      <c r="G49" s="229"/>
      <c r="H49" s="229"/>
      <c r="I49" s="229"/>
    </row>
    <row r="50" spans="1:9">
      <c r="A50" s="229"/>
      <c r="B50" s="229"/>
      <c r="C50" s="229"/>
      <c r="D50" s="229"/>
      <c r="E50" s="229"/>
      <c r="F50" s="229"/>
      <c r="G50" s="229"/>
      <c r="H50" s="229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31496062992125984" right="0.31496062992125984" top="0.78740157480314965" bottom="0.78740157480314965" header="0.31496062992125984" footer="0.31496062992125984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L29" sqref="L29"/>
    </sheetView>
  </sheetViews>
  <sheetFormatPr defaultRowHeight="12.75"/>
  <cols>
    <col min="1" max="1" width="9.140625" style="27"/>
    <col min="2" max="2" width="16.5703125" style="27" customWidth="1"/>
    <col min="3" max="3" width="10.5703125" style="27" customWidth="1"/>
    <col min="4" max="4" width="11.85546875" style="27" customWidth="1"/>
    <col min="5" max="5" width="9.42578125" style="27" customWidth="1"/>
    <col min="6" max="6" width="11.85546875" style="27" customWidth="1"/>
    <col min="7" max="7" width="9.5703125" style="27" customWidth="1"/>
    <col min="8" max="8" width="11.7109375" style="27" customWidth="1"/>
    <col min="9" max="10" width="9.140625" style="27"/>
    <col min="11" max="11" width="12" style="27" bestFit="1" customWidth="1"/>
    <col min="12" max="12" width="9.140625" style="27"/>
    <col min="13" max="13" width="11.140625" style="27" bestFit="1" customWidth="1"/>
    <col min="14" max="16384" width="9.140625" style="27"/>
  </cols>
  <sheetData>
    <row r="1" spans="1:14">
      <c r="A1" s="169"/>
      <c r="B1" s="169"/>
      <c r="C1" s="169"/>
      <c r="D1" s="169"/>
      <c r="E1" s="169"/>
      <c r="F1" s="169"/>
      <c r="G1" s="169"/>
      <c r="H1" s="169"/>
      <c r="I1" s="169"/>
      <c r="J1" s="169"/>
    </row>
    <row r="2" spans="1:14" ht="15" customHeight="1">
      <c r="A2" s="473" t="s">
        <v>138</v>
      </c>
      <c r="B2" s="474"/>
      <c r="C2" s="477" t="s">
        <v>195</v>
      </c>
      <c r="D2" s="478"/>
      <c r="E2" s="477" t="s">
        <v>197</v>
      </c>
      <c r="F2" s="478"/>
      <c r="G2" s="477" t="s">
        <v>198</v>
      </c>
      <c r="H2" s="478"/>
      <c r="I2" s="169"/>
      <c r="J2" s="169"/>
      <c r="K2" s="169"/>
      <c r="L2" s="169"/>
      <c r="M2" s="169"/>
      <c r="N2" s="169"/>
    </row>
    <row r="3" spans="1:14" ht="12.75" customHeight="1">
      <c r="A3" s="475"/>
      <c r="B3" s="476"/>
      <c r="C3" s="493"/>
      <c r="D3" s="494"/>
      <c r="E3" s="479"/>
      <c r="F3" s="480"/>
      <c r="G3" s="479"/>
      <c r="H3" s="480"/>
      <c r="I3" s="169"/>
      <c r="J3" s="169"/>
      <c r="K3" s="169"/>
      <c r="L3" s="169"/>
      <c r="M3" s="169"/>
      <c r="N3" s="169"/>
    </row>
    <row r="4" spans="1:14" ht="24.75" customHeight="1">
      <c r="A4" s="507" t="s">
        <v>108</v>
      </c>
      <c r="B4" s="508"/>
      <c r="C4" s="141" t="s">
        <v>98</v>
      </c>
      <c r="D4" s="147" t="s">
        <v>20</v>
      </c>
      <c r="E4" s="141" t="s">
        <v>98</v>
      </c>
      <c r="F4" s="147" t="s">
        <v>20</v>
      </c>
      <c r="G4" s="141" t="s">
        <v>98</v>
      </c>
      <c r="H4" s="147" t="s">
        <v>20</v>
      </c>
      <c r="I4" s="169"/>
      <c r="J4" s="169"/>
      <c r="K4" s="169"/>
      <c r="L4" s="169"/>
      <c r="M4" s="169"/>
      <c r="N4" s="169"/>
    </row>
    <row r="5" spans="1:14" ht="12.75" customHeight="1">
      <c r="A5" s="505"/>
      <c r="B5" s="506"/>
      <c r="C5" s="142">
        <v>1</v>
      </c>
      <c r="D5" s="144">
        <v>85076</v>
      </c>
      <c r="E5" s="108"/>
      <c r="F5" s="45">
        <v>58060</v>
      </c>
      <c r="G5" s="108">
        <v>1</v>
      </c>
      <c r="H5" s="45">
        <v>27010</v>
      </c>
      <c r="I5" s="169"/>
      <c r="J5" s="169"/>
      <c r="K5" s="169"/>
      <c r="L5" s="169"/>
      <c r="M5" s="169"/>
      <c r="N5" s="169"/>
    </row>
    <row r="6" spans="1:14">
      <c r="A6" s="505" t="s">
        <v>83</v>
      </c>
      <c r="B6" s="506"/>
      <c r="C6" s="142">
        <v>1</v>
      </c>
      <c r="D6" s="144">
        <v>66.7</v>
      </c>
      <c r="E6" s="108">
        <v>1</v>
      </c>
      <c r="F6" s="45">
        <v>66.7</v>
      </c>
      <c r="G6" s="108">
        <v>1</v>
      </c>
      <c r="H6" s="45">
        <v>66.7</v>
      </c>
      <c r="I6" s="169"/>
      <c r="J6" s="169"/>
      <c r="K6" s="169"/>
    </row>
    <row r="7" spans="1:14">
      <c r="A7" s="505" t="s">
        <v>0</v>
      </c>
      <c r="B7" s="506"/>
      <c r="C7" s="167">
        <v>0.01</v>
      </c>
      <c r="D7" s="145">
        <f>D5*C7</f>
        <v>850.76</v>
      </c>
      <c r="E7" s="168">
        <v>0.01</v>
      </c>
      <c r="F7" s="43">
        <f>F5*E7</f>
        <v>580.6</v>
      </c>
      <c r="G7" s="168">
        <v>0.03</v>
      </c>
      <c r="H7" s="127">
        <f>H5*G7</f>
        <v>810.3</v>
      </c>
      <c r="I7" s="169"/>
      <c r="J7" s="169"/>
      <c r="K7" s="169"/>
    </row>
    <row r="8" spans="1:14">
      <c r="A8" s="505" t="s">
        <v>1</v>
      </c>
      <c r="B8" s="506"/>
      <c r="C8" s="142">
        <v>1</v>
      </c>
      <c r="D8" s="144">
        <v>0</v>
      </c>
      <c r="E8" s="108">
        <v>1</v>
      </c>
      <c r="F8" s="45">
        <v>0</v>
      </c>
      <c r="G8" s="108">
        <v>1</v>
      </c>
      <c r="H8" s="16">
        <v>0</v>
      </c>
      <c r="I8" s="169"/>
      <c r="J8" s="169"/>
      <c r="K8" s="169"/>
    </row>
    <row r="9" spans="1:14">
      <c r="A9" s="511" t="s">
        <v>84</v>
      </c>
      <c r="B9" s="511"/>
      <c r="C9" s="143">
        <v>2</v>
      </c>
      <c r="D9" s="146">
        <v>127.84</v>
      </c>
      <c r="E9" s="108">
        <v>2</v>
      </c>
      <c r="F9" s="45">
        <v>127.84</v>
      </c>
      <c r="G9" s="108">
        <v>2</v>
      </c>
      <c r="H9" s="16">
        <v>127.84</v>
      </c>
      <c r="I9" s="169"/>
      <c r="J9" s="169"/>
      <c r="K9" s="169"/>
      <c r="L9" s="27">
        <f>(D5*0.0525)/12</f>
        <v>372.20749999999998</v>
      </c>
      <c r="M9" s="27">
        <f>L9/21</f>
        <v>17.724166666666665</v>
      </c>
      <c r="N9" s="27">
        <f>M9/89</f>
        <v>0.19914794007490635</v>
      </c>
    </row>
    <row r="10" spans="1:14">
      <c r="A10" s="512" t="s">
        <v>100</v>
      </c>
      <c r="B10" s="510"/>
      <c r="C10" s="143">
        <v>1</v>
      </c>
      <c r="D10" s="146">
        <v>207.34</v>
      </c>
      <c r="E10" s="108">
        <v>1</v>
      </c>
      <c r="F10" s="45">
        <v>207.34</v>
      </c>
      <c r="G10" s="108">
        <v>1</v>
      </c>
      <c r="H10" s="16">
        <v>207.34</v>
      </c>
      <c r="I10" s="169"/>
      <c r="J10" s="169"/>
      <c r="K10" s="169"/>
    </row>
    <row r="11" spans="1:14">
      <c r="A11" s="509" t="s">
        <v>99</v>
      </c>
      <c r="B11" s="510"/>
      <c r="C11" s="143">
        <v>1</v>
      </c>
      <c r="D11" s="278">
        <v>4400</v>
      </c>
      <c r="E11" s="108">
        <v>1</v>
      </c>
      <c r="F11" s="278">
        <v>2300</v>
      </c>
      <c r="G11" s="108">
        <v>1</v>
      </c>
      <c r="H11" s="278">
        <v>980</v>
      </c>
      <c r="I11" s="169"/>
      <c r="J11" s="169"/>
      <c r="K11" s="169"/>
    </row>
    <row r="12" spans="1:14">
      <c r="A12" s="512" t="s">
        <v>140</v>
      </c>
      <c r="B12" s="510"/>
      <c r="C12" s="143">
        <v>1</v>
      </c>
      <c r="D12" s="185">
        <v>358</v>
      </c>
      <c r="E12" s="187">
        <v>1</v>
      </c>
      <c r="F12" s="185">
        <v>358</v>
      </c>
      <c r="G12" s="187">
        <v>1</v>
      </c>
      <c r="H12" s="185">
        <v>358</v>
      </c>
      <c r="I12" s="169"/>
      <c r="J12" s="169"/>
      <c r="K12" s="169"/>
    </row>
    <row r="13" spans="1:14">
      <c r="A13" s="169"/>
      <c r="B13" s="513" t="s">
        <v>141</v>
      </c>
      <c r="C13" s="513"/>
      <c r="D13" s="186">
        <f>D6+D7+D8+(2*D9)+D10+D11+D12</f>
        <v>6138.48</v>
      </c>
      <c r="E13" s="169"/>
      <c r="F13" s="186">
        <f>F6+F7+F8+(2*F9)+F10+F11</f>
        <v>3410.3199999999997</v>
      </c>
      <c r="G13" s="169"/>
      <c r="H13" s="186">
        <f>H6+H7+H8+(G9*H9)+H10+H11</f>
        <v>2320.02</v>
      </c>
      <c r="I13" s="169"/>
      <c r="J13" s="169"/>
      <c r="K13" s="169"/>
    </row>
    <row r="14" spans="1:14">
      <c r="A14" s="170"/>
      <c r="B14" s="170"/>
      <c r="C14" s="171" t="s">
        <v>130</v>
      </c>
      <c r="D14" s="151">
        <f>D13/10</f>
        <v>613.84799999999996</v>
      </c>
      <c r="E14" s="169"/>
      <c r="F14" s="151">
        <f>F13/10</f>
        <v>341.03199999999998</v>
      </c>
      <c r="G14" s="169"/>
      <c r="H14" s="151">
        <f>H13/10</f>
        <v>232.00200000000001</v>
      </c>
      <c r="I14" s="169"/>
      <c r="J14" s="169"/>
      <c r="K14" s="169"/>
    </row>
    <row r="15" spans="1:14">
      <c r="A15" s="170"/>
      <c r="B15" s="170"/>
      <c r="C15" s="170"/>
      <c r="D15" s="170"/>
      <c r="E15" s="170"/>
      <c r="F15" s="170"/>
      <c r="G15" s="170"/>
      <c r="H15" s="170"/>
      <c r="I15" s="169"/>
      <c r="J15" s="169"/>
      <c r="K15" s="169"/>
    </row>
    <row r="16" spans="1:14" ht="15" customHeight="1">
      <c r="A16" s="473" t="s">
        <v>97</v>
      </c>
      <c r="B16" s="474"/>
      <c r="C16" s="477" t="s">
        <v>196</v>
      </c>
      <c r="D16" s="478"/>
      <c r="E16" s="477" t="s">
        <v>197</v>
      </c>
      <c r="F16" s="478"/>
      <c r="G16" s="477" t="s">
        <v>198</v>
      </c>
      <c r="H16" s="478"/>
      <c r="I16" s="169"/>
      <c r="J16" s="169"/>
      <c r="K16" s="169"/>
    </row>
    <row r="17" spans="1:14">
      <c r="A17" s="475"/>
      <c r="B17" s="476"/>
      <c r="C17" s="479"/>
      <c r="D17" s="480"/>
      <c r="E17" s="479"/>
      <c r="F17" s="480"/>
      <c r="G17" s="479"/>
      <c r="H17" s="480"/>
      <c r="I17" s="169"/>
      <c r="J17" s="169"/>
      <c r="K17" s="169"/>
    </row>
    <row r="18" spans="1:14" ht="14.25">
      <c r="A18" s="503" t="s">
        <v>108</v>
      </c>
      <c r="B18" s="504"/>
      <c r="C18" s="196" t="s">
        <v>136</v>
      </c>
      <c r="D18" s="196" t="s">
        <v>20</v>
      </c>
      <c r="E18" s="196" t="s">
        <v>136</v>
      </c>
      <c r="F18" s="196" t="s">
        <v>20</v>
      </c>
      <c r="G18" s="196" t="s">
        <v>136</v>
      </c>
      <c r="H18" s="196" t="s">
        <v>20</v>
      </c>
      <c r="I18" s="169"/>
      <c r="J18" s="169"/>
      <c r="K18" s="169"/>
    </row>
    <row r="19" spans="1:14">
      <c r="A19" s="468" t="s">
        <v>94</v>
      </c>
      <c r="B19" s="468"/>
      <c r="C19" s="174">
        <v>44500</v>
      </c>
      <c r="D19" s="175"/>
      <c r="E19" s="174">
        <v>40000</v>
      </c>
      <c r="F19" s="176"/>
      <c r="G19" s="174">
        <v>30000</v>
      </c>
      <c r="H19" s="176"/>
      <c r="I19" s="169"/>
      <c r="J19" s="169"/>
      <c r="K19" s="169"/>
    </row>
    <row r="20" spans="1:14">
      <c r="A20" s="468" t="s">
        <v>95</v>
      </c>
      <c r="B20" s="468"/>
      <c r="C20" s="174">
        <f>C19/2</f>
        <v>22250</v>
      </c>
      <c r="D20" s="175"/>
      <c r="E20" s="174">
        <f>E19/2</f>
        <v>20000</v>
      </c>
      <c r="F20" s="176"/>
      <c r="G20" s="174">
        <v>0</v>
      </c>
      <c r="H20" s="176"/>
      <c r="I20" s="169"/>
      <c r="J20" s="169"/>
      <c r="K20" s="169"/>
    </row>
    <row r="21" spans="1:14">
      <c r="A21" s="468" t="s">
        <v>96</v>
      </c>
      <c r="B21" s="468"/>
      <c r="C21" s="174">
        <f>C19+(C20*2)</f>
        <v>89000</v>
      </c>
      <c r="D21" s="175"/>
      <c r="E21" s="174">
        <f>(2*E20)+E19</f>
        <v>80000</v>
      </c>
      <c r="F21" s="176"/>
      <c r="G21" s="174">
        <f>G19+G20</f>
        <v>30000</v>
      </c>
      <c r="H21" s="176"/>
      <c r="I21" s="169"/>
      <c r="J21" s="169"/>
      <c r="K21" s="169"/>
    </row>
    <row r="22" spans="1:14">
      <c r="A22" s="468" t="s">
        <v>134</v>
      </c>
      <c r="B22" s="468"/>
      <c r="C22" s="86"/>
      <c r="D22" s="177">
        <f>(1709.05+2077.9+2221.34)/3</f>
        <v>2002.7633333333333</v>
      </c>
      <c r="E22" s="6"/>
      <c r="F22" s="178">
        <f>(880+740.05+966.92)/3</f>
        <v>862.32333333333327</v>
      </c>
      <c r="G22" s="6"/>
      <c r="H22" s="178">
        <f>(389.9+359.1+339)/3</f>
        <v>362.66666666666669</v>
      </c>
    </row>
    <row r="23" spans="1:14">
      <c r="A23" s="505" t="s">
        <v>132</v>
      </c>
      <c r="B23" s="514"/>
      <c r="C23" s="86"/>
      <c r="D23" s="177">
        <f>(730+729+720)/3</f>
        <v>726.33333333333337</v>
      </c>
      <c r="E23" s="6"/>
      <c r="F23" s="178">
        <f>(460+450+459)/3</f>
        <v>456.33333333333331</v>
      </c>
      <c r="G23" s="6"/>
      <c r="H23" s="178">
        <v>0</v>
      </c>
    </row>
    <row r="24" spans="1:14">
      <c r="A24" s="505" t="s">
        <v>137</v>
      </c>
      <c r="B24" s="514"/>
      <c r="C24" s="487">
        <v>6</v>
      </c>
      <c r="D24" s="488"/>
      <c r="E24" s="487">
        <v>6</v>
      </c>
      <c r="F24" s="488"/>
      <c r="G24" s="487">
        <v>4</v>
      </c>
      <c r="H24" s="488"/>
      <c r="I24" s="27">
        <v>6</v>
      </c>
      <c r="J24" s="27">
        <v>4</v>
      </c>
    </row>
    <row r="25" spans="1:14">
      <c r="A25" s="169"/>
      <c r="B25" s="169"/>
      <c r="C25" s="184" t="s">
        <v>135</v>
      </c>
      <c r="D25" s="16">
        <f>D22+(D23*2)</f>
        <v>3455.4300000000003</v>
      </c>
      <c r="E25" s="184" t="s">
        <v>135</v>
      </c>
      <c r="F25" s="127">
        <f>F22+(F23*2)</f>
        <v>1774.9899999999998</v>
      </c>
      <c r="G25" s="184" t="s">
        <v>135</v>
      </c>
      <c r="H25" s="16">
        <f>H22</f>
        <v>362.66666666666669</v>
      </c>
    </row>
    <row r="26" spans="1:14">
      <c r="A26" s="169"/>
      <c r="B26" s="169"/>
      <c r="C26" s="179" t="s">
        <v>119</v>
      </c>
      <c r="D26" s="181">
        <f>D25*C24</f>
        <v>20732.580000000002</v>
      </c>
      <c r="E26" s="179" t="s">
        <v>119</v>
      </c>
      <c r="F26" s="181">
        <f>F25*E24</f>
        <v>10649.939999999999</v>
      </c>
      <c r="G26" s="180" t="s">
        <v>119</v>
      </c>
      <c r="H26" s="181">
        <f>H22*G24</f>
        <v>1450.6666666666667</v>
      </c>
    </row>
    <row r="27" spans="1:14">
      <c r="A27" s="169"/>
      <c r="B27" s="169"/>
      <c r="C27" s="179" t="s">
        <v>133</v>
      </c>
      <c r="D27" s="151">
        <f>D26/C21</f>
        <v>0.2329503370786517</v>
      </c>
      <c r="E27" s="179" t="s">
        <v>133</v>
      </c>
      <c r="F27" s="151">
        <f>F26/E21</f>
        <v>0.13312424999999997</v>
      </c>
      <c r="G27" s="179" t="s">
        <v>133</v>
      </c>
      <c r="H27" s="151">
        <f>H26/G21</f>
        <v>4.8355555555555561E-2</v>
      </c>
    </row>
    <row r="28" spans="1:14">
      <c r="A28" s="169"/>
      <c r="B28" s="169"/>
      <c r="C28" s="169"/>
      <c r="D28" s="183"/>
      <c r="E28" s="169"/>
      <c r="F28" s="169"/>
      <c r="G28" s="169"/>
      <c r="H28" s="169"/>
    </row>
    <row r="29" spans="1:14" ht="12.75" customHeight="1">
      <c r="A29" s="473" t="s">
        <v>142</v>
      </c>
      <c r="B29" s="474"/>
      <c r="C29" s="477" t="s">
        <v>199</v>
      </c>
      <c r="D29" s="478"/>
      <c r="E29" s="477" t="s">
        <v>197</v>
      </c>
      <c r="F29" s="478"/>
      <c r="G29" s="477" t="s">
        <v>198</v>
      </c>
      <c r="H29" s="478"/>
    </row>
    <row r="30" spans="1:14">
      <c r="A30" s="475"/>
      <c r="B30" s="476"/>
      <c r="C30" s="479"/>
      <c r="D30" s="480"/>
      <c r="E30" s="479"/>
      <c r="F30" s="480"/>
      <c r="G30" s="479"/>
      <c r="H30" s="480"/>
      <c r="M30" s="173"/>
      <c r="N30" s="209"/>
    </row>
    <row r="31" spans="1:14" ht="14.25">
      <c r="A31" s="469" t="s">
        <v>108</v>
      </c>
      <c r="B31" s="470"/>
      <c r="C31" s="493"/>
      <c r="D31" s="494"/>
      <c r="E31" s="493"/>
      <c r="F31" s="494"/>
      <c r="G31" s="493"/>
      <c r="H31" s="494"/>
      <c r="K31" s="195"/>
    </row>
    <row r="32" spans="1:14">
      <c r="A32" s="468" t="s">
        <v>143</v>
      </c>
      <c r="B32" s="468"/>
      <c r="C32" s="471"/>
      <c r="D32" s="472"/>
      <c r="E32" s="471"/>
      <c r="F32" s="472"/>
      <c r="G32" s="471"/>
      <c r="H32" s="472"/>
      <c r="K32" s="194"/>
      <c r="M32" s="173"/>
    </row>
    <row r="33" spans="1:8">
      <c r="A33" s="468" t="s">
        <v>144</v>
      </c>
      <c r="B33" s="468"/>
      <c r="C33" s="491"/>
      <c r="D33" s="492"/>
      <c r="E33" s="491"/>
      <c r="F33" s="492"/>
      <c r="G33" s="491"/>
      <c r="H33" s="492"/>
    </row>
    <row r="34" spans="1:8">
      <c r="A34" s="468" t="s">
        <v>145</v>
      </c>
      <c r="B34" s="468"/>
      <c r="C34" s="485"/>
      <c r="D34" s="486"/>
      <c r="E34" s="487"/>
      <c r="F34" s="488"/>
      <c r="G34" s="471"/>
      <c r="H34" s="472"/>
    </row>
    <row r="35" spans="1:8">
      <c r="A35" s="468" t="s">
        <v>146</v>
      </c>
      <c r="B35" s="468"/>
      <c r="C35" s="471"/>
      <c r="D35" s="472"/>
      <c r="E35" s="471"/>
      <c r="F35" s="472"/>
      <c r="G35" s="471"/>
      <c r="H35" s="472"/>
    </row>
    <row r="36" spans="1:8">
      <c r="A36" s="495" t="s">
        <v>256</v>
      </c>
      <c r="B36" s="495"/>
      <c r="C36" s="495"/>
      <c r="D36" s="495"/>
      <c r="E36" s="495"/>
      <c r="F36" s="495"/>
      <c r="G36" s="495"/>
      <c r="H36" s="495"/>
    </row>
    <row r="37" spans="1:8">
      <c r="A37" s="496"/>
      <c r="B37" s="496"/>
      <c r="C37" s="496"/>
      <c r="D37" s="496"/>
      <c r="E37" s="496"/>
      <c r="F37" s="496"/>
      <c r="G37" s="496"/>
      <c r="H37" s="496"/>
    </row>
    <row r="38" spans="1:8">
      <c r="A38" s="277"/>
      <c r="B38" s="277"/>
      <c r="C38" s="277"/>
      <c r="D38" s="277"/>
      <c r="E38" s="277"/>
      <c r="F38" s="277"/>
      <c r="G38" s="277"/>
      <c r="H38" s="277"/>
    </row>
    <row r="39" spans="1:8" ht="12.75" customHeight="1">
      <c r="A39" s="497" t="s">
        <v>243</v>
      </c>
      <c r="B39" s="498"/>
      <c r="C39" s="477" t="s">
        <v>199</v>
      </c>
      <c r="D39" s="478"/>
      <c r="E39" s="477" t="s">
        <v>197</v>
      </c>
      <c r="F39" s="478"/>
      <c r="G39" s="477" t="s">
        <v>198</v>
      </c>
      <c r="H39" s="478"/>
    </row>
    <row r="40" spans="1:8" ht="12.75" customHeight="1">
      <c r="A40" s="499"/>
      <c r="B40" s="500"/>
      <c r="C40" s="479"/>
      <c r="D40" s="480"/>
      <c r="E40" s="479"/>
      <c r="F40" s="480"/>
      <c r="G40" s="479"/>
      <c r="H40" s="480"/>
    </row>
    <row r="41" spans="1:8" ht="14.25" customHeight="1">
      <c r="A41" s="501"/>
      <c r="B41" s="502"/>
      <c r="C41" s="493"/>
      <c r="D41" s="494"/>
      <c r="E41" s="493"/>
      <c r="F41" s="494"/>
      <c r="G41" s="493"/>
      <c r="H41" s="494"/>
    </row>
    <row r="42" spans="1:8">
      <c r="A42" s="468" t="s">
        <v>143</v>
      </c>
      <c r="B42" s="468"/>
      <c r="C42" s="471"/>
      <c r="D42" s="472"/>
      <c r="E42" s="471"/>
      <c r="F42" s="472"/>
      <c r="G42" s="471"/>
      <c r="H42" s="472"/>
    </row>
    <row r="43" spans="1:8">
      <c r="A43" s="468" t="s">
        <v>244</v>
      </c>
      <c r="B43" s="468"/>
      <c r="C43" s="489"/>
      <c r="D43" s="490"/>
      <c r="E43" s="489"/>
      <c r="F43" s="490"/>
      <c r="G43" s="489"/>
      <c r="H43" s="490"/>
    </row>
    <row r="44" spans="1:8">
      <c r="A44" s="468"/>
      <c r="B44" s="468"/>
      <c r="C44" s="485"/>
      <c r="D44" s="486"/>
      <c r="E44" s="487"/>
      <c r="F44" s="488"/>
      <c r="G44" s="471"/>
      <c r="H44" s="472"/>
    </row>
    <row r="45" spans="1:8">
      <c r="A45" s="468"/>
      <c r="B45" s="468"/>
      <c r="C45" s="471"/>
      <c r="D45" s="472"/>
      <c r="E45" s="471"/>
      <c r="F45" s="472"/>
      <c r="G45" s="471"/>
      <c r="H45" s="472"/>
    </row>
    <row r="46" spans="1:8">
      <c r="A46" s="495" t="s">
        <v>259</v>
      </c>
      <c r="B46" s="495"/>
      <c r="C46" s="495"/>
      <c r="D46" s="495"/>
      <c r="E46" s="495"/>
      <c r="F46" s="495"/>
      <c r="G46" s="495"/>
      <c r="H46" s="495"/>
    </row>
    <row r="47" spans="1:8">
      <c r="A47" s="496"/>
      <c r="B47" s="496"/>
      <c r="C47" s="496"/>
      <c r="D47" s="496"/>
      <c r="E47" s="496"/>
      <c r="F47" s="496"/>
      <c r="G47" s="496"/>
      <c r="H47" s="496"/>
    </row>
  </sheetData>
  <mergeCells count="71">
    <mergeCell ref="A46:H47"/>
    <mergeCell ref="B13:C13"/>
    <mergeCell ref="A12:B12"/>
    <mergeCell ref="A16:B17"/>
    <mergeCell ref="C16:D17"/>
    <mergeCell ref="A23:B23"/>
    <mergeCell ref="A22:B22"/>
    <mergeCell ref="A19:B19"/>
    <mergeCell ref="A20:B20"/>
    <mergeCell ref="A21:B21"/>
    <mergeCell ref="E16:F17"/>
    <mergeCell ref="G16:H17"/>
    <mergeCell ref="A29:B30"/>
    <mergeCell ref="A24:B24"/>
    <mergeCell ref="C24:D24"/>
    <mergeCell ref="E24:F24"/>
    <mergeCell ref="A11:B11"/>
    <mergeCell ref="C2:D3"/>
    <mergeCell ref="A6:B6"/>
    <mergeCell ref="A7:B7"/>
    <mergeCell ref="A8:B8"/>
    <mergeCell ref="A9:B9"/>
    <mergeCell ref="A10:B10"/>
    <mergeCell ref="E2:F3"/>
    <mergeCell ref="G2:H3"/>
    <mergeCell ref="A5:B5"/>
    <mergeCell ref="A4:B4"/>
    <mergeCell ref="A2:B3"/>
    <mergeCell ref="G24:H24"/>
    <mergeCell ref="A18:B18"/>
    <mergeCell ref="C29:D31"/>
    <mergeCell ref="E29:F31"/>
    <mergeCell ref="G29:H31"/>
    <mergeCell ref="A31:B31"/>
    <mergeCell ref="A32:B32"/>
    <mergeCell ref="A33:B33"/>
    <mergeCell ref="A34:B34"/>
    <mergeCell ref="A35:B35"/>
    <mergeCell ref="A39:B41"/>
    <mergeCell ref="C39:D41"/>
    <mergeCell ref="E39:F41"/>
    <mergeCell ref="G34:H34"/>
    <mergeCell ref="G35:H35"/>
    <mergeCell ref="E34:F34"/>
    <mergeCell ref="E35:F35"/>
    <mergeCell ref="A36:H37"/>
    <mergeCell ref="G39:H41"/>
    <mergeCell ref="C35:D35"/>
    <mergeCell ref="G32:H32"/>
    <mergeCell ref="G33:H33"/>
    <mergeCell ref="C32:D32"/>
    <mergeCell ref="C33:D33"/>
    <mergeCell ref="C34:D34"/>
    <mergeCell ref="E32:F32"/>
    <mergeCell ref="E33:F33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F24" sqref="F24"/>
    </sheetView>
  </sheetViews>
  <sheetFormatPr defaultRowHeight="12"/>
  <cols>
    <col min="1" max="1" width="12.7109375" style="242" customWidth="1"/>
    <col min="2" max="3" width="15.5703125" style="242" customWidth="1"/>
    <col min="4" max="4" width="17.85546875" style="242" customWidth="1"/>
    <col min="5" max="5" width="15.85546875" style="242" bestFit="1" customWidth="1"/>
    <col min="6" max="16384" width="9.140625" style="242"/>
  </cols>
  <sheetData>
    <row r="1" spans="1:5">
      <c r="A1" s="311"/>
      <c r="B1" s="312" t="s">
        <v>288</v>
      </c>
      <c r="C1" s="312" t="s">
        <v>285</v>
      </c>
      <c r="D1" s="312" t="s">
        <v>287</v>
      </c>
      <c r="E1" s="312" t="s">
        <v>286</v>
      </c>
    </row>
    <row r="2" spans="1:5">
      <c r="A2" s="313" t="s">
        <v>268</v>
      </c>
      <c r="B2" s="314">
        <f>'L1 '!E42</f>
        <v>6.9199489101447149</v>
      </c>
      <c r="C2" s="314">
        <f>'L1 '!G5</f>
        <v>89.66</v>
      </c>
      <c r="D2" s="314">
        <f>B2*C2*21</f>
        <v>13029.295004955078</v>
      </c>
      <c r="E2" s="314">
        <f>D2*10</f>
        <v>130292.95004955078</v>
      </c>
    </row>
    <row r="3" spans="1:5">
      <c r="A3" s="315" t="s">
        <v>269</v>
      </c>
      <c r="B3" s="316">
        <f>'L2 '!E42</f>
        <v>4.5449290715502197</v>
      </c>
      <c r="C3" s="316">
        <f>'L2 '!G5</f>
        <v>109.64</v>
      </c>
      <c r="D3" s="316">
        <f t="shared" ref="D3:D18" si="0">B3*C3*21</f>
        <v>10464.426491500088</v>
      </c>
      <c r="E3" s="316">
        <f t="shared" ref="E3:E18" si="1">D3*10</f>
        <v>104644.26491500088</v>
      </c>
    </row>
    <row r="4" spans="1:5">
      <c r="A4" s="313" t="s">
        <v>270</v>
      </c>
      <c r="B4" s="314">
        <f>'L3 '!E42</f>
        <v>4.4520322650683077</v>
      </c>
      <c r="C4" s="314">
        <f>'L3 '!G5</f>
        <v>103.5</v>
      </c>
      <c r="D4" s="314">
        <f t="shared" si="0"/>
        <v>9676.4921281259667</v>
      </c>
      <c r="E4" s="314">
        <f t="shared" si="1"/>
        <v>96764.921281259667</v>
      </c>
    </row>
    <row r="5" spans="1:5">
      <c r="A5" s="315" t="s">
        <v>271</v>
      </c>
      <c r="B5" s="316">
        <f>'L4 '!E42</f>
        <v>7.8762302569639395</v>
      </c>
      <c r="C5" s="316">
        <f>'L4 '!G5</f>
        <v>73.260000000000005</v>
      </c>
      <c r="D5" s="316">
        <f t="shared" si="0"/>
        <v>12117.265201128743</v>
      </c>
      <c r="E5" s="316">
        <f t="shared" si="1"/>
        <v>121172.65201128743</v>
      </c>
    </row>
    <row r="6" spans="1:5">
      <c r="A6" s="313" t="s">
        <v>272</v>
      </c>
      <c r="B6" s="314">
        <f>'L5 '!E42</f>
        <v>4.4394719830321892</v>
      </c>
      <c r="C6" s="314">
        <f>'L5 '!G5</f>
        <v>104</v>
      </c>
      <c r="D6" s="314">
        <f t="shared" si="0"/>
        <v>9695.8068109423002</v>
      </c>
      <c r="E6" s="314">
        <f t="shared" si="1"/>
        <v>96958.068109423009</v>
      </c>
    </row>
    <row r="7" spans="1:5">
      <c r="A7" s="315" t="s">
        <v>273</v>
      </c>
      <c r="B7" s="316">
        <f>'L6'!E42</f>
        <v>8.678837498736085</v>
      </c>
      <c r="C7" s="316">
        <f>'L6'!G5</f>
        <v>63.51</v>
      </c>
      <c r="D7" s="316">
        <f t="shared" si="0"/>
        <v>11575.052360439304</v>
      </c>
      <c r="E7" s="316">
        <f t="shared" si="1"/>
        <v>115750.52360439303</v>
      </c>
    </row>
    <row r="8" spans="1:5">
      <c r="A8" s="313" t="s">
        <v>274</v>
      </c>
      <c r="B8" s="314">
        <f>'L7 '!E42</f>
        <v>4.5761184179223866</v>
      </c>
      <c r="C8" s="314">
        <f>'L7 '!G5</f>
        <v>79.349999999999994</v>
      </c>
      <c r="D8" s="314">
        <f t="shared" si="0"/>
        <v>7625.4149257049685</v>
      </c>
      <c r="E8" s="314">
        <f t="shared" si="1"/>
        <v>76254.149257049692</v>
      </c>
    </row>
    <row r="9" spans="1:5">
      <c r="A9" s="315" t="s">
        <v>275</v>
      </c>
      <c r="B9" s="316">
        <f>'L8 '!E42</f>
        <v>5.3676479814299016</v>
      </c>
      <c r="C9" s="316">
        <f>'L8 '!G5</f>
        <v>76.64</v>
      </c>
      <c r="D9" s="316">
        <f t="shared" si="0"/>
        <v>8638.9073672325412</v>
      </c>
      <c r="E9" s="316">
        <f t="shared" si="1"/>
        <v>86389.073672325409</v>
      </c>
    </row>
    <row r="10" spans="1:5">
      <c r="A10" s="313" t="s">
        <v>276</v>
      </c>
      <c r="B10" s="314">
        <f>'L9 '!E42</f>
        <v>5.8795018441010471</v>
      </c>
      <c r="C10" s="314">
        <f>'L9 '!G5</f>
        <v>66.930000000000007</v>
      </c>
      <c r="D10" s="314">
        <f t="shared" si="0"/>
        <v>8263.816226939347</v>
      </c>
      <c r="E10" s="314">
        <f t="shared" si="1"/>
        <v>82638.162269393477</v>
      </c>
    </row>
    <row r="11" spans="1:5">
      <c r="A11" s="315" t="s">
        <v>277</v>
      </c>
      <c r="B11" s="316">
        <f>'L 10'!E42</f>
        <v>5.7211724943716602</v>
      </c>
      <c r="C11" s="316">
        <f>'L 10'!G5</f>
        <v>69.66</v>
      </c>
      <c r="D11" s="316">
        <f t="shared" si="0"/>
        <v>8369.2743951165266</v>
      </c>
      <c r="E11" s="316">
        <f t="shared" si="1"/>
        <v>83692.743951165263</v>
      </c>
    </row>
    <row r="12" spans="1:5">
      <c r="A12" s="313" t="s">
        <v>278</v>
      </c>
      <c r="B12" s="314">
        <f>'L11 '!E42</f>
        <v>4.669900884295707</v>
      </c>
      <c r="C12" s="314">
        <f>'L11 '!G5</f>
        <v>77.040000000000006</v>
      </c>
      <c r="D12" s="314">
        <f t="shared" si="0"/>
        <v>7555.1524466489664</v>
      </c>
      <c r="E12" s="314">
        <f t="shared" si="1"/>
        <v>75551.52446648966</v>
      </c>
    </row>
    <row r="13" spans="1:5">
      <c r="A13" s="315" t="s">
        <v>279</v>
      </c>
      <c r="B13" s="316">
        <f>'L12 '!E42</f>
        <v>4.8197757153289702</v>
      </c>
      <c r="C13" s="316">
        <f>'L12 '!G5</f>
        <v>83.3</v>
      </c>
      <c r="D13" s="316">
        <f t="shared" si="0"/>
        <v>8431.2336588249673</v>
      </c>
      <c r="E13" s="316">
        <f t="shared" si="1"/>
        <v>84312.336588249673</v>
      </c>
    </row>
    <row r="14" spans="1:5">
      <c r="A14" s="313" t="s">
        <v>280</v>
      </c>
      <c r="B14" s="314">
        <f>'L13 '!E42</f>
        <v>8.0049209669914241</v>
      </c>
      <c r="C14" s="314">
        <f>'L13 '!G5</f>
        <v>71.5</v>
      </c>
      <c r="D14" s="314">
        <f t="shared" si="0"/>
        <v>12019.388831937622</v>
      </c>
      <c r="E14" s="314">
        <f t="shared" si="1"/>
        <v>120193.88831937622</v>
      </c>
    </row>
    <row r="15" spans="1:5">
      <c r="A15" s="315" t="s">
        <v>281</v>
      </c>
      <c r="B15" s="316">
        <f>'L14 '!E42</f>
        <v>10.408104797429891</v>
      </c>
      <c r="C15" s="316">
        <f>'L14 '!G5</f>
        <v>27.7</v>
      </c>
      <c r="D15" s="316">
        <f t="shared" si="0"/>
        <v>6054.3945606649677</v>
      </c>
      <c r="E15" s="316">
        <f t="shared" si="1"/>
        <v>60543.945606649679</v>
      </c>
    </row>
    <row r="16" spans="1:5">
      <c r="A16" s="313" t="s">
        <v>282</v>
      </c>
      <c r="B16" s="314">
        <f>'L15 '!E42</f>
        <v>5.1438219673356942</v>
      </c>
      <c r="C16" s="314">
        <f>'L15 '!G5</f>
        <v>153.47</v>
      </c>
      <c r="D16" s="314">
        <f t="shared" si="0"/>
        <v>16577.869503867187</v>
      </c>
      <c r="E16" s="314">
        <f t="shared" si="1"/>
        <v>165778.69503867187</v>
      </c>
    </row>
    <row r="17" spans="1:5">
      <c r="A17" s="315" t="s">
        <v>283</v>
      </c>
      <c r="B17" s="316">
        <f>'L16 '!E42</f>
        <v>11.421270769293679</v>
      </c>
      <c r="C17" s="316">
        <f>'L16 '!G5</f>
        <v>28.22</v>
      </c>
      <c r="D17" s="316">
        <f t="shared" si="0"/>
        <v>6768.4734832988197</v>
      </c>
      <c r="E17" s="316">
        <f t="shared" si="1"/>
        <v>67684.734832988193</v>
      </c>
    </row>
    <row r="18" spans="1:5">
      <c r="A18" s="313" t="s">
        <v>284</v>
      </c>
      <c r="B18" s="314">
        <f>'L17 '!E42</f>
        <v>5.5339566658207531</v>
      </c>
      <c r="C18" s="314">
        <f>'L17 '!G5</f>
        <v>73.19</v>
      </c>
      <c r="D18" s="314">
        <f t="shared" si="0"/>
        <v>8505.6360557998396</v>
      </c>
      <c r="E18" s="314">
        <f t="shared" si="1"/>
        <v>85056.3605579984</v>
      </c>
    </row>
    <row r="19" spans="1:5">
      <c r="A19" s="317"/>
      <c r="B19" s="317"/>
      <c r="C19" s="318" t="s">
        <v>289</v>
      </c>
      <c r="D19" s="515">
        <f>SUM(D2:D18)</f>
        <v>165367.89945312726</v>
      </c>
      <c r="E19" s="515"/>
    </row>
    <row r="20" spans="1:5">
      <c r="A20" s="317"/>
      <c r="B20" s="317"/>
      <c r="C20" s="318" t="s">
        <v>290</v>
      </c>
      <c r="D20" s="516">
        <f>SUM(E2:E18)</f>
        <v>1653678.994531272</v>
      </c>
      <c r="E20" s="516"/>
    </row>
  </sheetData>
  <mergeCells count="2">
    <mergeCell ref="D19:E19"/>
    <mergeCell ref="D20:E2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13" zoomScaleNormal="100" workbookViewId="0">
      <selection activeCell="J37" sqref="J37"/>
    </sheetView>
  </sheetViews>
  <sheetFormatPr defaultRowHeight="15"/>
  <cols>
    <col min="1" max="10" width="9.140625" style="228" customWidth="1"/>
    <col min="11" max="16384" width="9.140625" style="228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214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103.5</v>
      </c>
      <c r="H5" s="49"/>
      <c r="I5" s="49"/>
      <c r="J5" s="49"/>
      <c r="K5" s="228">
        <f>G5*21</f>
        <v>2173.5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35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35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35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30</v>
      </c>
      <c r="H10" s="21"/>
      <c r="I10" s="21"/>
      <c r="J10" s="21"/>
    </row>
    <row r="11" spans="1:11">
      <c r="A11" s="21" t="s">
        <v>169</v>
      </c>
      <c r="B11" s="21"/>
      <c r="C11" s="334" t="s">
        <v>247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30"/>
      <c r="F19" s="231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30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30"/>
      <c r="F22" s="218" t="s">
        <v>188</v>
      </c>
      <c r="G22" s="57"/>
      <c r="H22" s="57"/>
      <c r="I22" s="57"/>
      <c r="J22" s="223">
        <f>J21/(G5*21)</f>
        <v>1.4834910627096858</v>
      </c>
    </row>
    <row r="23" spans="1:16">
      <c r="A23" s="214" t="s">
        <v>176</v>
      </c>
      <c r="B23" s="57"/>
      <c r="C23" s="57"/>
      <c r="D23" s="57"/>
      <c r="E23" s="230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30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434.70000000000005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0.22171520588911894</v>
      </c>
      <c r="F32" s="218" t="s">
        <v>205</v>
      </c>
      <c r="G32" s="57"/>
      <c r="H32" s="57"/>
      <c r="I32" s="57"/>
      <c r="J32" s="223">
        <f>J31/(K5)</f>
        <v>0.34867632850241542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5" t="s">
        <v>236</v>
      </c>
      <c r="B37" s="246"/>
      <c r="C37" s="246"/>
      <c r="D37" s="246"/>
      <c r="E37" s="247">
        <f>E32+E28+E21+E18</f>
        <v>1.6678579744076374</v>
      </c>
      <c r="F37" s="245" t="s">
        <v>208</v>
      </c>
      <c r="G37" s="246"/>
      <c r="H37" s="246"/>
      <c r="I37" s="225"/>
      <c r="J37" s="237">
        <f>J32+J22</f>
        <v>1.8321673912121013</v>
      </c>
    </row>
    <row r="38" spans="1:10">
      <c r="A38" s="248"/>
      <c r="B38" s="240"/>
      <c r="C38" s="240"/>
      <c r="D38" s="240"/>
      <c r="E38" s="249"/>
      <c r="F38" s="239">
        <f>E37+J37+(E37+J37)*E39</f>
        <v>4.2000304387436866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0.2520018263246212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264</v>
      </c>
      <c r="B42" s="240"/>
      <c r="C42" s="240"/>
      <c r="D42" s="240"/>
      <c r="E42" s="252">
        <f>F38+E40</f>
        <v>4.4520322650683077</v>
      </c>
      <c r="F42" s="240"/>
      <c r="G42" s="240"/>
      <c r="H42" s="240"/>
      <c r="I42" s="21"/>
      <c r="J42" s="21"/>
    </row>
    <row r="43" spans="1:10">
      <c r="A43" s="281" t="s">
        <v>76</v>
      </c>
      <c r="B43" s="282">
        <v>0</v>
      </c>
      <c r="C43" s="240"/>
      <c r="D43" s="281"/>
      <c r="E43" s="283">
        <f>F38*B43</f>
        <v>0</v>
      </c>
      <c r="F43" s="240"/>
      <c r="G43" s="240"/>
      <c r="H43" s="240"/>
      <c r="I43" s="240"/>
      <c r="J43" s="21"/>
    </row>
    <row r="44" spans="1:10">
      <c r="A44" s="281" t="s">
        <v>77</v>
      </c>
      <c r="B44" s="282">
        <v>0</v>
      </c>
      <c r="C44" s="240"/>
      <c r="D44" s="281"/>
      <c r="E44" s="283">
        <v>0</v>
      </c>
      <c r="F44" s="240"/>
      <c r="G44" s="240"/>
      <c r="H44" s="240"/>
      <c r="I44" s="255"/>
      <c r="J44" s="21"/>
    </row>
    <row r="45" spans="1:10">
      <c r="A45" s="281" t="s">
        <v>78</v>
      </c>
      <c r="B45" s="282">
        <v>0.02</v>
      </c>
      <c r="C45" s="240"/>
      <c r="D45" s="281"/>
      <c r="E45" s="283">
        <f>F38*B45</f>
        <v>8.4000608774873739E-2</v>
      </c>
      <c r="F45" s="240"/>
      <c r="G45" s="240"/>
      <c r="H45" s="240"/>
      <c r="I45" s="240"/>
      <c r="J45" s="21"/>
    </row>
    <row r="46" spans="1:10">
      <c r="A46" s="281" t="s">
        <v>22</v>
      </c>
      <c r="B46" s="284">
        <v>0.04</v>
      </c>
      <c r="C46" s="240"/>
      <c r="D46" s="281"/>
      <c r="E46" s="285">
        <f>F38*B46</f>
        <v>0.16800121754974748</v>
      </c>
      <c r="F46" s="240"/>
      <c r="G46" s="240"/>
      <c r="H46" s="240"/>
      <c r="I46" s="240"/>
      <c r="J46" s="21"/>
    </row>
    <row r="47" spans="1:10">
      <c r="A47" s="240"/>
      <c r="B47" s="240"/>
      <c r="C47" s="240"/>
      <c r="D47" s="240"/>
      <c r="E47" s="240"/>
      <c r="F47" s="240"/>
      <c r="G47" s="240"/>
      <c r="H47" s="240"/>
      <c r="I47" s="240"/>
      <c r="J47" s="21"/>
    </row>
    <row r="48" spans="1:10">
      <c r="A48" s="229"/>
      <c r="B48" s="229"/>
      <c r="C48" s="229"/>
      <c r="D48" s="229"/>
      <c r="E48" s="229"/>
      <c r="F48" s="229"/>
      <c r="G48" s="229"/>
      <c r="H48" s="229"/>
      <c r="I48" s="229"/>
    </row>
    <row r="49" spans="1:9">
      <c r="A49" s="229"/>
      <c r="B49" s="229"/>
      <c r="C49" s="229"/>
      <c r="D49" s="229"/>
      <c r="E49" s="229"/>
      <c r="F49" s="229"/>
      <c r="G49" s="229"/>
      <c r="H49" s="229"/>
      <c r="I49" s="229"/>
    </row>
    <row r="50" spans="1:9">
      <c r="A50" s="229"/>
      <c r="B50" s="229"/>
      <c r="C50" s="229"/>
      <c r="D50" s="229"/>
      <c r="E50" s="229"/>
      <c r="F50" s="229"/>
      <c r="G50" s="229"/>
      <c r="H50" s="229"/>
    </row>
  </sheetData>
  <mergeCells count="8"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A42" sqref="A42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C4" s="329" t="s">
        <v>238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G5" s="267">
        <v>73.260000000000005</v>
      </c>
      <c r="H5" s="49"/>
      <c r="I5" s="49"/>
      <c r="J5" s="49"/>
      <c r="K5" s="21">
        <f>G5*21</f>
        <v>1538.46</v>
      </c>
    </row>
    <row r="6" spans="1:11">
      <c r="A6" s="21" t="s">
        <v>162</v>
      </c>
      <c r="B6" s="335" t="s">
        <v>163</v>
      </c>
      <c r="C6" s="335"/>
      <c r="D6" s="335"/>
      <c r="E6" s="335"/>
      <c r="F6" s="335"/>
      <c r="G6" s="335"/>
    </row>
    <row r="7" spans="1:11">
      <c r="A7" s="21" t="s">
        <v>164</v>
      </c>
      <c r="E7" s="200"/>
      <c r="G7" s="235">
        <v>244</v>
      </c>
    </row>
    <row r="8" spans="1:11">
      <c r="A8" s="21" t="s">
        <v>165</v>
      </c>
      <c r="F8" s="200"/>
      <c r="G8" s="235">
        <v>12</v>
      </c>
    </row>
    <row r="9" spans="1:11">
      <c r="A9" s="21" t="s">
        <v>166</v>
      </c>
      <c r="G9" s="235">
        <v>21</v>
      </c>
    </row>
    <row r="10" spans="1:11">
      <c r="A10" s="21" t="s">
        <v>167</v>
      </c>
      <c r="G10" s="274">
        <v>32</v>
      </c>
    </row>
    <row r="11" spans="1:11">
      <c r="A11" s="21" t="s">
        <v>169</v>
      </c>
      <c r="C11" s="334" t="s">
        <v>245</v>
      </c>
      <c r="D11" s="334"/>
      <c r="E11" s="334"/>
      <c r="F11" s="334"/>
      <c r="G11" s="334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1">
        <f>'Comb, lub, Man'!I5</f>
        <v>4.8233333333333333</v>
      </c>
      <c r="F16" s="218" t="s">
        <v>189</v>
      </c>
      <c r="G16" s="57"/>
      <c r="H16" s="57"/>
      <c r="I16" s="57"/>
      <c r="J16" s="213">
        <f>' Pessoal'!D10</f>
        <v>2595.1799999999998</v>
      </c>
    </row>
    <row r="17" spans="1:10">
      <c r="A17" s="218" t="s">
        <v>172</v>
      </c>
      <c r="B17" s="57"/>
      <c r="C17" s="57"/>
      <c r="D17" s="57"/>
      <c r="E17" s="211">
        <f>'Comb, lub, Man'!I6</f>
        <v>3</v>
      </c>
      <c r="F17" s="218" t="s">
        <v>190</v>
      </c>
      <c r="G17" s="57"/>
      <c r="H17" s="57"/>
      <c r="I17" s="57"/>
      <c r="J17" s="211">
        <f>' Pessoal'!F64</f>
        <v>504.50299199999995</v>
      </c>
    </row>
    <row r="18" spans="1:10">
      <c r="A18" s="218" t="s">
        <v>173</v>
      </c>
      <c r="B18" s="57"/>
      <c r="C18" s="57"/>
      <c r="D18" s="57"/>
      <c r="E18" s="215">
        <f>'Comb, lub, Man'!I7</f>
        <v>1.6077777777777778</v>
      </c>
      <c r="F18" s="218" t="s">
        <v>191</v>
      </c>
      <c r="G18" s="57"/>
      <c r="H18" s="57"/>
      <c r="I18" s="57"/>
      <c r="J18" s="211">
        <f>' Pessoal'!F65</f>
        <v>960.90172751999989</v>
      </c>
    </row>
    <row r="19" spans="1:10">
      <c r="A19" s="205"/>
      <c r="B19" s="55"/>
      <c r="C19" s="55"/>
      <c r="D19" s="55"/>
      <c r="E19" s="230"/>
      <c r="F19" s="231" t="s">
        <v>192</v>
      </c>
      <c r="G19" s="55"/>
      <c r="H19" s="55"/>
      <c r="I19" s="55"/>
      <c r="J19" s="211">
        <f>' Pessoal'!F66</f>
        <v>515.64839517176961</v>
      </c>
    </row>
    <row r="20" spans="1:10">
      <c r="A20" s="214" t="s">
        <v>174</v>
      </c>
      <c r="B20" s="57"/>
      <c r="C20" s="57"/>
      <c r="D20" s="57"/>
      <c r="E20" s="230"/>
      <c r="F20" s="218" t="s">
        <v>193</v>
      </c>
      <c r="G20" s="57"/>
      <c r="H20" s="57"/>
      <c r="I20" s="57"/>
      <c r="J20" s="211">
        <f>' Pessoal'!F67</f>
        <v>46.012127406036818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4622.2452420978061</v>
      </c>
    </row>
    <row r="22" spans="1:10">
      <c r="A22" s="54"/>
      <c r="B22" s="57"/>
      <c r="C22" s="57"/>
      <c r="D22" s="57"/>
      <c r="E22" s="230"/>
      <c r="F22" s="218" t="s">
        <v>188</v>
      </c>
      <c r="G22" s="57"/>
      <c r="H22" s="57"/>
      <c r="I22" s="57"/>
      <c r="J22" s="223">
        <f>J21/(K5)</f>
        <v>3.0044624118259859</v>
      </c>
    </row>
    <row r="23" spans="1:10">
      <c r="A23" s="214" t="s">
        <v>176</v>
      </c>
      <c r="B23" s="57"/>
      <c r="C23" s="57"/>
      <c r="D23" s="57"/>
      <c r="E23" s="230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depre'!D22</f>
        <v>2002.7633333333333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30">
        <v>6</v>
      </c>
      <c r="F25" s="218" t="s">
        <v>200</v>
      </c>
      <c r="G25" s="57"/>
      <c r="H25" s="57"/>
      <c r="I25" s="57"/>
      <c r="J25" s="219">
        <f>'Admin, depre'!D7</f>
        <v>850.76</v>
      </c>
    </row>
    <row r="26" spans="1:10">
      <c r="A26" s="218" t="s">
        <v>180</v>
      </c>
      <c r="B26" s="57"/>
      <c r="C26" s="57"/>
      <c r="D26" s="57"/>
      <c r="E26" s="212">
        <f>'Admin, depre'!D23</f>
        <v>726.33333333333337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depre'!C21</f>
        <v>89000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depre'!D27</f>
        <v>0.2329503370786517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depre'!D11</f>
        <v>4400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307.69200000000001</v>
      </c>
      <c r="F31" s="218" t="s">
        <v>204</v>
      </c>
      <c r="G31" s="57"/>
      <c r="H31" s="57"/>
      <c r="I31" s="57"/>
      <c r="J31" s="219">
        <f>SUM(J25:J30)/10</f>
        <v>994.86399999999992</v>
      </c>
    </row>
    <row r="32" spans="1:10">
      <c r="A32" s="218" t="s">
        <v>183</v>
      </c>
      <c r="B32" s="57"/>
      <c r="C32" s="57"/>
      <c r="D32" s="57"/>
      <c r="E32" s="215">
        <f>(0.0083*'Admin, depre'!D5)/(K5)</f>
        <v>0.45898547898547898</v>
      </c>
      <c r="F32" s="218" t="s">
        <v>205</v>
      </c>
      <c r="G32" s="57"/>
      <c r="H32" s="57"/>
      <c r="I32" s="57"/>
      <c r="J32" s="223">
        <f>J31/(K5)</f>
        <v>0.64666224666224659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3" t="s">
        <v>236</v>
      </c>
      <c r="B37" s="225"/>
      <c r="C37" s="225"/>
      <c r="D37" s="225"/>
      <c r="E37" s="237">
        <f>E32+E28+E21+E18</f>
        <v>2.5408802605085752</v>
      </c>
      <c r="F37" s="243" t="s">
        <v>208</v>
      </c>
      <c r="G37" s="225"/>
      <c r="H37" s="225"/>
      <c r="I37" s="225"/>
      <c r="J37" s="236">
        <f>J32+J22</f>
        <v>3.6511246584882326</v>
      </c>
    </row>
    <row r="38" spans="1:10">
      <c r="A38" s="27"/>
      <c r="E38" s="226"/>
      <c r="F38" s="239">
        <f>E37+J37+(E37+J37)*E39</f>
        <v>7.4304059027961697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0.44582435416777016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264</v>
      </c>
      <c r="D42" s="240"/>
      <c r="E42" s="241">
        <f>F38+E40</f>
        <v>7.8762302569639395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40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40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0.14860811805592339</v>
      </c>
      <c r="F45" s="240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0.29721623611184678</v>
      </c>
      <c r="F46" s="240"/>
      <c r="G46" s="240"/>
    </row>
    <row r="47" spans="1:10">
      <c r="A47" s="240"/>
      <c r="B47" s="240"/>
      <c r="C47" s="240"/>
      <c r="D47" s="240"/>
      <c r="E47" s="240"/>
      <c r="F47" s="240"/>
      <c r="G47" s="240"/>
    </row>
    <row r="48" spans="1:10">
      <c r="E48" s="240"/>
    </row>
  </sheetData>
  <mergeCells count="8"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J12" sqref="J12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C4" s="329" t="s">
        <v>218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G5" s="267">
        <v>104</v>
      </c>
      <c r="H5" s="49"/>
      <c r="I5" s="49"/>
      <c r="J5" s="49"/>
      <c r="K5" s="21">
        <f>G5*21</f>
        <v>2184</v>
      </c>
    </row>
    <row r="6" spans="1:11">
      <c r="A6" s="21" t="s">
        <v>162</v>
      </c>
      <c r="B6" s="335" t="s">
        <v>239</v>
      </c>
      <c r="C6" s="335"/>
      <c r="D6" s="335"/>
      <c r="E6" s="335"/>
      <c r="F6" s="335"/>
      <c r="G6" s="335"/>
    </row>
    <row r="7" spans="1:11">
      <c r="A7" s="21" t="s">
        <v>164</v>
      </c>
      <c r="E7" s="200"/>
      <c r="G7" s="235">
        <v>244</v>
      </c>
    </row>
    <row r="8" spans="1:11">
      <c r="A8" s="21" t="s">
        <v>165</v>
      </c>
      <c r="F8" s="200"/>
      <c r="G8" s="235">
        <v>12</v>
      </c>
    </row>
    <row r="9" spans="1:11">
      <c r="A9" s="21" t="s">
        <v>166</v>
      </c>
      <c r="G9" s="235">
        <v>21</v>
      </c>
    </row>
    <row r="10" spans="1:11">
      <c r="A10" s="21" t="s">
        <v>167</v>
      </c>
      <c r="G10" s="274">
        <v>32</v>
      </c>
    </row>
    <row r="11" spans="1:11">
      <c r="A11" s="21" t="s">
        <v>169</v>
      </c>
      <c r="C11" s="334" t="s">
        <v>247</v>
      </c>
      <c r="D11" s="334"/>
      <c r="E11" s="334"/>
      <c r="F11" s="334"/>
      <c r="G11" s="334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1">
        <f>'Comb, lub, Man'!J5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0">
      <c r="A17" s="218" t="s">
        <v>172</v>
      </c>
      <c r="B17" s="57"/>
      <c r="C17" s="57"/>
      <c r="D17" s="57"/>
      <c r="E17" s="211">
        <f>'Comb, lub, Man'!J6</f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0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0">
      <c r="A19" s="205"/>
      <c r="B19" s="55"/>
      <c r="C19" s="55"/>
      <c r="D19" s="55"/>
      <c r="E19" s="233"/>
      <c r="F19" s="234" t="s">
        <v>192</v>
      </c>
      <c r="G19" s="55"/>
      <c r="H19" s="55"/>
      <c r="I19" s="55"/>
      <c r="J19" s="211">
        <f>' Pessoal'!H66</f>
        <v>375.2456781882272</v>
      </c>
    </row>
    <row r="20" spans="1:10">
      <c r="A20" s="214" t="s">
        <v>174</v>
      </c>
      <c r="B20" s="57"/>
      <c r="C20" s="57"/>
      <c r="D20" s="57"/>
      <c r="E20" s="233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0">
      <c r="A22" s="54"/>
      <c r="B22" s="57"/>
      <c r="C22" s="57"/>
      <c r="D22" s="57"/>
      <c r="E22" s="233"/>
      <c r="F22" s="218" t="s">
        <v>188</v>
      </c>
      <c r="G22" s="57"/>
      <c r="H22" s="57"/>
      <c r="I22" s="57"/>
      <c r="J22" s="223">
        <f>J21/(K5)</f>
        <v>1.4763588941389663</v>
      </c>
    </row>
    <row r="23" spans="1:10">
      <c r="A23" s="214" t="s">
        <v>176</v>
      </c>
      <c r="B23" s="57"/>
      <c r="C23" s="57"/>
      <c r="D23" s="57"/>
      <c r="E23" s="233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33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0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436.8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0">
      <c r="A32" s="218" t="s">
        <v>183</v>
      </c>
      <c r="B32" s="57"/>
      <c r="C32" s="57"/>
      <c r="D32" s="57"/>
      <c r="E32" s="215">
        <f>(0.0083*'Admin, depre'!F5)/(K5)</f>
        <v>0.22064926739926741</v>
      </c>
      <c r="F32" s="218" t="s">
        <v>205</v>
      </c>
      <c r="G32" s="57"/>
      <c r="H32" s="57"/>
      <c r="I32" s="57"/>
      <c r="J32" s="223">
        <f>J31/(K5)</f>
        <v>0.34699999999999998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8" t="s">
        <v>236</v>
      </c>
      <c r="B37" s="339"/>
      <c r="C37" s="339"/>
      <c r="D37" s="225"/>
      <c r="E37" s="237">
        <f>E32+E28+E21+E18</f>
        <v>1.6667920359177859</v>
      </c>
      <c r="F37" s="243" t="s">
        <v>208</v>
      </c>
      <c r="G37" s="225"/>
      <c r="H37" s="225"/>
      <c r="I37" s="225"/>
      <c r="J37" s="236">
        <f>J32+J22</f>
        <v>1.8233588941389662</v>
      </c>
    </row>
    <row r="38" spans="1:10">
      <c r="A38" s="27"/>
      <c r="E38" s="226"/>
      <c r="F38" s="239">
        <f>E37+J37+(E37+J37)*E39</f>
        <v>4.1881811160681028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0.2512908669640862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264</v>
      </c>
      <c r="D42" s="240"/>
      <c r="E42" s="241">
        <f>F38+E40</f>
        <v>4.4394719830321892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8.3763622321362058E-2</v>
      </c>
      <c r="F45" s="281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0.16752724464272412</v>
      </c>
      <c r="F46" s="281"/>
      <c r="G46" s="240"/>
    </row>
    <row r="47" spans="1:10">
      <c r="A47" s="281"/>
      <c r="B47" s="281"/>
      <c r="C47" s="281"/>
      <c r="D47" s="281"/>
      <c r="E47" s="281"/>
      <c r="F47" s="281"/>
      <c r="G47" s="240"/>
    </row>
    <row r="48" spans="1:10">
      <c r="A48" s="281"/>
      <c r="B48" s="281"/>
      <c r="C48" s="281"/>
      <c r="D48" s="281"/>
      <c r="E48" s="281"/>
      <c r="F48" s="281"/>
    </row>
    <row r="49" spans="1:6">
      <c r="A49" s="281"/>
      <c r="B49" s="281"/>
      <c r="C49" s="281"/>
      <c r="D49" s="281"/>
      <c r="E49" s="281"/>
      <c r="F49" s="281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A42" sqref="A42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6384" width="9.140625" style="21"/>
  </cols>
  <sheetData>
    <row r="1" spans="1:12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2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2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2">
      <c r="A4" s="21" t="s">
        <v>160</v>
      </c>
      <c r="C4" s="329" t="s">
        <v>220</v>
      </c>
      <c r="D4" s="329"/>
      <c r="E4" s="329"/>
      <c r="F4" s="329"/>
      <c r="G4" s="329"/>
      <c r="H4" s="329"/>
      <c r="I4" s="329"/>
      <c r="J4" s="329"/>
    </row>
    <row r="5" spans="1:12">
      <c r="A5" s="21" t="s">
        <v>232</v>
      </c>
      <c r="G5" s="267">
        <v>63.51</v>
      </c>
      <c r="H5" s="49"/>
      <c r="I5" s="49"/>
      <c r="J5" s="49"/>
      <c r="K5" s="21">
        <f>G5*21</f>
        <v>1333.71</v>
      </c>
    </row>
    <row r="6" spans="1:12">
      <c r="A6" s="21" t="s">
        <v>162</v>
      </c>
      <c r="B6" s="335" t="s">
        <v>219</v>
      </c>
      <c r="C6" s="335"/>
      <c r="D6" s="335"/>
      <c r="E6" s="335"/>
      <c r="F6" s="335"/>
      <c r="G6" s="335"/>
    </row>
    <row r="7" spans="1:12">
      <c r="A7" s="21" t="s">
        <v>164</v>
      </c>
      <c r="E7" s="200"/>
      <c r="G7" s="260">
        <v>244</v>
      </c>
    </row>
    <row r="8" spans="1:12">
      <c r="A8" s="21" t="s">
        <v>165</v>
      </c>
      <c r="F8" s="200"/>
      <c r="G8" s="260">
        <v>12</v>
      </c>
    </row>
    <row r="9" spans="1:12">
      <c r="A9" s="21" t="s">
        <v>166</v>
      </c>
      <c r="G9" s="260">
        <v>21</v>
      </c>
    </row>
    <row r="10" spans="1:12">
      <c r="A10" s="21" t="s">
        <v>167</v>
      </c>
      <c r="G10" s="274">
        <v>11</v>
      </c>
    </row>
    <row r="11" spans="1:12">
      <c r="A11" s="21" t="s">
        <v>169</v>
      </c>
      <c r="B11" s="265"/>
      <c r="C11" s="334" t="s">
        <v>245</v>
      </c>
      <c r="D11" s="334"/>
      <c r="E11" s="334"/>
      <c r="F11" s="334"/>
      <c r="G11" s="334"/>
      <c r="J11" s="265"/>
      <c r="K11" s="265"/>
      <c r="L11" s="265"/>
    </row>
    <row r="13" spans="1:12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2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2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2">
      <c r="A16" s="340" t="s">
        <v>171</v>
      </c>
      <c r="B16" s="341"/>
      <c r="C16" s="341"/>
      <c r="D16" s="341"/>
      <c r="E16" s="211">
        <f>'Comb, lub, Man'!I5</f>
        <v>4.8233333333333333</v>
      </c>
      <c r="F16" s="218" t="s">
        <v>189</v>
      </c>
      <c r="G16" s="57"/>
      <c r="H16" s="57"/>
      <c r="I16" s="57"/>
      <c r="J16" s="213">
        <f>' Pessoal'!D10</f>
        <v>2595.1799999999998</v>
      </c>
    </row>
    <row r="17" spans="1:10">
      <c r="A17" s="262" t="s">
        <v>172</v>
      </c>
      <c r="B17" s="263"/>
      <c r="C17" s="263"/>
      <c r="D17" s="263"/>
      <c r="E17" s="211">
        <f>'Comb, lub, Man'!I6</f>
        <v>3</v>
      </c>
      <c r="F17" s="218" t="s">
        <v>190</v>
      </c>
      <c r="G17" s="57"/>
      <c r="H17" s="57"/>
      <c r="I17" s="57"/>
      <c r="J17" s="211">
        <f>' Pessoal'!F64</f>
        <v>504.50299199999995</v>
      </c>
    </row>
    <row r="18" spans="1:10">
      <c r="A18" s="262" t="s">
        <v>173</v>
      </c>
      <c r="B18" s="263"/>
      <c r="C18" s="263"/>
      <c r="D18" s="263"/>
      <c r="E18" s="215">
        <f>'Comb, lub, Man'!I7</f>
        <v>1.6077777777777778</v>
      </c>
      <c r="F18" s="218" t="s">
        <v>191</v>
      </c>
      <c r="G18" s="57"/>
      <c r="H18" s="57"/>
      <c r="I18" s="57"/>
      <c r="J18" s="211">
        <f>' Pessoal'!F65</f>
        <v>960.90172751999989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Pessoal'!F66</f>
        <v>515.64839517176961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Pessoal'!F67</f>
        <v>46.012127406036818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SUM(J16:J20)</f>
        <v>4622.2452420978061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3.4657048699475941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depre'!D22</f>
        <v>2002.7633333333333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75">
        <v>6</v>
      </c>
      <c r="F25" s="218" t="s">
        <v>200</v>
      </c>
      <c r="G25" s="57"/>
      <c r="H25" s="57"/>
      <c r="I25" s="57"/>
      <c r="J25" s="219">
        <f>'Admin, depre'!D7</f>
        <v>850.76</v>
      </c>
    </row>
    <row r="26" spans="1:10">
      <c r="A26" s="218" t="s">
        <v>180</v>
      </c>
      <c r="B26" s="57"/>
      <c r="C26" s="57"/>
      <c r="D26" s="57"/>
      <c r="E26" s="212">
        <f>'Admin, depre'!D23</f>
        <v>726.33333333333337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0">
      <c r="A27" s="218" t="s">
        <v>179</v>
      </c>
      <c r="B27" s="57"/>
      <c r="C27" s="57"/>
      <c r="D27" s="57"/>
      <c r="E27" s="224">
        <f>'Admin, depre'!C21</f>
        <v>89000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0">
      <c r="A28" s="218" t="s">
        <v>181</v>
      </c>
      <c r="B28" s="57"/>
      <c r="C28" s="57"/>
      <c r="D28" s="57"/>
      <c r="E28" s="215">
        <f>'Admin, depre'!D27</f>
        <v>0.2329503370786517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depre'!D11</f>
        <v>4400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0.2*K5</f>
        <v>266.74200000000002</v>
      </c>
      <c r="F31" s="218" t="s">
        <v>204</v>
      </c>
      <c r="G31" s="57"/>
      <c r="H31" s="57"/>
      <c r="I31" s="57"/>
      <c r="J31" s="219">
        <f>SUM(J25:J30)/10</f>
        <v>994.86399999999992</v>
      </c>
    </row>
    <row r="32" spans="1:10">
      <c r="A32" s="218" t="s">
        <v>183</v>
      </c>
      <c r="B32" s="57"/>
      <c r="C32" s="57"/>
      <c r="D32" s="57"/>
      <c r="E32" s="215">
        <f>(0.0083*'Admin, depre'!D5)/(K5)</f>
        <v>0.52944853079005183</v>
      </c>
      <c r="F32" s="218" t="s">
        <v>205</v>
      </c>
      <c r="G32" s="57"/>
      <c r="H32" s="57"/>
      <c r="I32" s="57"/>
      <c r="J32" s="223">
        <f>J31/(K5)</f>
        <v>0.7459372727204564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3" t="s">
        <v>236</v>
      </c>
      <c r="B37" s="225"/>
      <c r="C37" s="225"/>
      <c r="D37" s="225"/>
      <c r="E37" s="237">
        <f>E32+E28+E21+E18</f>
        <v>2.611343312313148</v>
      </c>
      <c r="F37" s="243" t="s">
        <v>208</v>
      </c>
      <c r="G37" s="225"/>
      <c r="H37" s="225"/>
      <c r="I37" s="225"/>
      <c r="J37" s="236">
        <f>J32+J22</f>
        <v>4.2116421426680501</v>
      </c>
    </row>
    <row r="38" spans="1:10">
      <c r="A38" s="27"/>
      <c r="E38" s="226"/>
      <c r="F38" s="239">
        <f>E37+J37+(E37+J37)*E39</f>
        <v>8.1875825459774383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0.49125495275864628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264</v>
      </c>
      <c r="D42" s="240"/>
      <c r="E42" s="268">
        <f>F38+E40</f>
        <v>8.678837498736085</v>
      </c>
      <c r="F42" s="240"/>
      <c r="G42" s="240"/>
    </row>
    <row r="43" spans="1:10">
      <c r="A43" s="286" t="s">
        <v>76</v>
      </c>
      <c r="B43" s="287">
        <v>0</v>
      </c>
      <c r="C43" s="286"/>
      <c r="D43" s="286"/>
      <c r="E43" s="288">
        <f>B43*F38</f>
        <v>0</v>
      </c>
      <c r="F43" s="286"/>
      <c r="G43" s="240"/>
    </row>
    <row r="44" spans="1:10">
      <c r="A44" s="286" t="s">
        <v>77</v>
      </c>
      <c r="B44" s="287">
        <v>0</v>
      </c>
      <c r="C44" s="286"/>
      <c r="D44" s="286"/>
      <c r="E44" s="288">
        <f>B44*F38</f>
        <v>0</v>
      </c>
      <c r="F44" s="286"/>
      <c r="G44" s="240"/>
    </row>
    <row r="45" spans="1:10">
      <c r="A45" s="286" t="s">
        <v>78</v>
      </c>
      <c r="B45" s="287">
        <v>0.02</v>
      </c>
      <c r="C45" s="286"/>
      <c r="D45" s="286"/>
      <c r="E45" s="288">
        <f>F38*B45</f>
        <v>0.16375165091954877</v>
      </c>
      <c r="F45" s="286"/>
      <c r="G45" s="240"/>
    </row>
    <row r="46" spans="1:10">
      <c r="A46" s="286" t="s">
        <v>22</v>
      </c>
      <c r="B46" s="289">
        <v>0.04</v>
      </c>
      <c r="C46" s="286"/>
      <c r="D46" s="286"/>
      <c r="E46" s="290">
        <f>F38*B46</f>
        <v>0.32750330183909754</v>
      </c>
      <c r="F46" s="286"/>
      <c r="G46" s="240"/>
    </row>
    <row r="47" spans="1:10">
      <c r="A47" s="240"/>
      <c r="B47" s="240"/>
      <c r="C47" s="240"/>
      <c r="D47" s="240"/>
      <c r="E47" s="240"/>
      <c r="F47" s="240"/>
      <c r="G47" s="240"/>
    </row>
    <row r="48" spans="1:10">
      <c r="E48" s="240"/>
    </row>
  </sheetData>
  <mergeCells count="8">
    <mergeCell ref="A15:B15"/>
    <mergeCell ref="A16:D16"/>
    <mergeCell ref="A1:J2"/>
    <mergeCell ref="C4:J4"/>
    <mergeCell ref="B6:G6"/>
    <mergeCell ref="A13:E13"/>
    <mergeCell ref="F13:J13"/>
    <mergeCell ref="C11:G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8"/>
  <sheetViews>
    <sheetView topLeftCell="A10" workbookViewId="0">
      <selection activeCell="L11" sqref="L11"/>
    </sheetView>
  </sheetViews>
  <sheetFormatPr defaultRowHeight="15"/>
  <cols>
    <col min="1" max="3" width="9.140625" style="21"/>
    <col min="4" max="6" width="9.140625" style="21" customWidth="1"/>
    <col min="7" max="9" width="9.140625" style="21"/>
    <col min="10" max="10" width="9.140625" style="21" customWidth="1"/>
    <col min="11" max="11" width="9.140625" style="21"/>
    <col min="12" max="12" width="10.5703125" style="21" bestFit="1" customWidth="1"/>
    <col min="13" max="16384" width="9.140625" style="21"/>
  </cols>
  <sheetData>
    <row r="1" spans="1:16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6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6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6">
      <c r="A4" s="21" t="s">
        <v>160</v>
      </c>
      <c r="C4" s="329" t="s">
        <v>240</v>
      </c>
      <c r="D4" s="329"/>
      <c r="E4" s="329"/>
      <c r="F4" s="329"/>
      <c r="G4" s="329"/>
      <c r="H4" s="329"/>
      <c r="I4" s="329"/>
      <c r="J4" s="329"/>
    </row>
    <row r="5" spans="1:16">
      <c r="A5" s="21" t="s">
        <v>232</v>
      </c>
      <c r="G5" s="267">
        <v>79.349999999999994</v>
      </c>
      <c r="H5" s="49"/>
      <c r="I5" s="49"/>
      <c r="J5" s="49"/>
      <c r="K5" s="21">
        <f>G5*21</f>
        <v>1666.35</v>
      </c>
    </row>
    <row r="6" spans="1:16">
      <c r="A6" s="21" t="s">
        <v>162</v>
      </c>
      <c r="B6" s="335" t="s">
        <v>224</v>
      </c>
      <c r="C6" s="335"/>
      <c r="D6" s="335"/>
      <c r="E6" s="335"/>
      <c r="F6" s="335"/>
      <c r="G6" s="335"/>
    </row>
    <row r="7" spans="1:16">
      <c r="A7" s="21" t="s">
        <v>164</v>
      </c>
      <c r="E7" s="200"/>
      <c r="G7" s="260">
        <v>244</v>
      </c>
      <c r="J7" s="273"/>
      <c r="L7" s="254"/>
    </row>
    <row r="8" spans="1:16">
      <c r="A8" s="21" t="s">
        <v>165</v>
      </c>
      <c r="F8" s="200"/>
      <c r="G8" s="260">
        <v>12</v>
      </c>
    </row>
    <row r="9" spans="1:16">
      <c r="A9" s="21" t="s">
        <v>166</v>
      </c>
      <c r="G9" s="260">
        <v>21</v>
      </c>
    </row>
    <row r="10" spans="1:16">
      <c r="A10" s="21" t="s">
        <v>167</v>
      </c>
      <c r="G10" s="274">
        <v>18</v>
      </c>
    </row>
    <row r="11" spans="1:16">
      <c r="A11" s="21" t="s">
        <v>169</v>
      </c>
      <c r="B11" s="265"/>
      <c r="C11" s="267" t="s">
        <v>267</v>
      </c>
      <c r="D11" s="267"/>
      <c r="E11" s="267"/>
      <c r="F11" s="267"/>
      <c r="G11" s="267"/>
      <c r="P11" s="271"/>
    </row>
    <row r="13" spans="1:16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6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6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6">
      <c r="A16" s="340" t="s">
        <v>260</v>
      </c>
      <c r="B16" s="341"/>
      <c r="C16" s="341"/>
      <c r="D16" s="341"/>
      <c r="E16" s="261">
        <f>'Comb, lub, Man'!K5</f>
        <v>6.7933333333333339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0">
      <c r="A17" s="262" t="s">
        <v>172</v>
      </c>
      <c r="B17" s="263"/>
      <c r="C17" s="263"/>
      <c r="D17" s="263"/>
      <c r="E17" s="261">
        <f>'Comb, lub, Man'!K6</f>
        <v>8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0">
      <c r="A18" s="262" t="s">
        <v>263</v>
      </c>
      <c r="B18" s="263"/>
      <c r="C18" s="263"/>
      <c r="D18" s="263"/>
      <c r="E18" s="264">
        <f>'Comb, lub, Man'!K7</f>
        <v>0.84916666666666674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0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0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0">
      <c r="A21" s="218" t="s">
        <v>175</v>
      </c>
      <c r="B21" s="57"/>
      <c r="C21" s="57"/>
      <c r="D21" s="57"/>
      <c r="E21" s="215">
        <f>'Comb, lub, Man'!I21</f>
        <v>0.24116666666666667</v>
      </c>
      <c r="F21" s="218" t="s">
        <v>186</v>
      </c>
      <c r="G21" s="57"/>
      <c r="H21" s="57"/>
      <c r="I21" s="57"/>
      <c r="J21" s="219">
        <f>' Pessoal'!H68</f>
        <v>3224.3678247995022</v>
      </c>
    </row>
    <row r="22" spans="1:10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J21/(K5)</f>
        <v>1.9349883426648078</v>
      </c>
    </row>
    <row r="23" spans="1:10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</row>
    <row r="24" spans="1:10">
      <c r="A24" s="218" t="s">
        <v>177</v>
      </c>
      <c r="B24" s="57"/>
      <c r="C24" s="57"/>
      <c r="D24" s="57"/>
      <c r="E24" s="212">
        <f>'Admin, depre'!H22</f>
        <v>362.66666666666669</v>
      </c>
      <c r="F24" s="214" t="s">
        <v>194</v>
      </c>
      <c r="G24" s="57"/>
      <c r="H24" s="57"/>
      <c r="I24" s="57"/>
      <c r="J24" s="206"/>
    </row>
    <row r="25" spans="1:10">
      <c r="A25" s="218" t="s">
        <v>178</v>
      </c>
      <c r="B25" s="57"/>
      <c r="C25" s="57"/>
      <c r="D25" s="57"/>
      <c r="E25" s="258">
        <f>'Admin, depre'!J24</f>
        <v>4</v>
      </c>
      <c r="F25" s="218" t="s">
        <v>200</v>
      </c>
      <c r="G25" s="57"/>
      <c r="H25" s="57"/>
      <c r="I25" s="57"/>
      <c r="J25" s="219">
        <f>'Admin, depre'!H7</f>
        <v>810.3</v>
      </c>
    </row>
    <row r="26" spans="1:10">
      <c r="A26" s="218" t="s">
        <v>180</v>
      </c>
      <c r="B26" s="57"/>
      <c r="C26" s="57"/>
      <c r="D26" s="57"/>
      <c r="E26" s="212">
        <f>'Admin, depre'!H23</f>
        <v>0</v>
      </c>
      <c r="F26" s="218" t="s">
        <v>201</v>
      </c>
      <c r="G26" s="57"/>
      <c r="H26" s="57"/>
      <c r="I26" s="57"/>
      <c r="J26" s="219">
        <f>'Admin, depre'!H6</f>
        <v>66.7</v>
      </c>
    </row>
    <row r="27" spans="1:10">
      <c r="A27" s="218" t="s">
        <v>179</v>
      </c>
      <c r="B27" s="57"/>
      <c r="C27" s="57"/>
      <c r="D27" s="57"/>
      <c r="E27" s="224">
        <f>'Admin, depre'!G21</f>
        <v>30000</v>
      </c>
      <c r="F27" s="218" t="s">
        <v>206</v>
      </c>
      <c r="G27" s="57"/>
      <c r="H27" s="57"/>
      <c r="I27" s="57"/>
      <c r="J27" s="219">
        <f>'Admin, depre'!H9</f>
        <v>127.84</v>
      </c>
    </row>
    <row r="28" spans="1:10">
      <c r="A28" s="218" t="s">
        <v>181</v>
      </c>
      <c r="B28" s="57"/>
      <c r="C28" s="57"/>
      <c r="D28" s="57"/>
      <c r="E28" s="215">
        <f>'Admin, depre'!H27</f>
        <v>4.8355555555555561E-2</v>
      </c>
      <c r="F28" s="218" t="s">
        <v>207</v>
      </c>
      <c r="G28" s="57"/>
      <c r="H28" s="57"/>
      <c r="I28" s="57"/>
      <c r="J28" s="219">
        <f>'Admin, depre'!H10</f>
        <v>207.34</v>
      </c>
    </row>
    <row r="29" spans="1:10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depre'!H11</f>
        <v>980</v>
      </c>
    </row>
    <row r="30" spans="1:10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0">
      <c r="A31" s="218" t="s">
        <v>184</v>
      </c>
      <c r="B31" s="57"/>
      <c r="C31" s="57"/>
      <c r="D31" s="57"/>
      <c r="E31" s="210">
        <f>E32*K5</f>
        <v>224.18300000000002</v>
      </c>
      <c r="F31" s="218" t="s">
        <v>204</v>
      </c>
      <c r="G31" s="57"/>
      <c r="H31" s="57"/>
      <c r="I31" s="57"/>
      <c r="J31" s="219">
        <f>SUM(J25:J30)/10</f>
        <v>648.81799999999998</v>
      </c>
    </row>
    <row r="32" spans="1:10">
      <c r="A32" s="218" t="s">
        <v>183</v>
      </c>
      <c r="B32" s="57"/>
      <c r="C32" s="57"/>
      <c r="D32" s="57"/>
      <c r="E32" s="215">
        <f>(0.0083*'Admin, depre'!H5)/(K5)</f>
        <v>0.13453536171872657</v>
      </c>
      <c r="F32" s="218" t="s">
        <v>205</v>
      </c>
      <c r="G32" s="57"/>
      <c r="H32" s="57"/>
      <c r="I32" s="57"/>
      <c r="J32" s="223">
        <f>J31/(K5)</f>
        <v>0.38936477930806856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243" t="s">
        <v>236</v>
      </c>
      <c r="B37" s="225"/>
      <c r="C37" s="225"/>
      <c r="D37" s="225"/>
      <c r="E37" s="237">
        <f>E32+E28+E21+E18</f>
        <v>1.2732242506076155</v>
      </c>
      <c r="F37" s="243" t="s">
        <v>208</v>
      </c>
      <c r="G37" s="225"/>
      <c r="H37" s="225"/>
      <c r="I37" s="225"/>
      <c r="J37" s="236">
        <f>J32+J22</f>
        <v>2.3243531219728766</v>
      </c>
    </row>
    <row r="38" spans="1:10">
      <c r="A38" s="27"/>
      <c r="E38" s="226"/>
      <c r="F38" s="239">
        <f>E37+J37+(E37+J37)*E39</f>
        <v>4.3170928470965908</v>
      </c>
      <c r="J38" s="226"/>
    </row>
    <row r="39" spans="1:10">
      <c r="A39" s="242" t="s">
        <v>209</v>
      </c>
      <c r="D39" s="240"/>
      <c r="E39" s="227">
        <v>0.2</v>
      </c>
      <c r="F39" s="240"/>
      <c r="G39" s="240"/>
    </row>
    <row r="40" spans="1:10">
      <c r="A40" s="242" t="s">
        <v>210</v>
      </c>
      <c r="D40" s="240"/>
      <c r="E40" s="238">
        <f>SUM(E43:E46)</f>
        <v>0.25902557082579547</v>
      </c>
      <c r="F40" s="240"/>
      <c r="G40" s="240"/>
    </row>
    <row r="41" spans="1:10" ht="15.75" thickBot="1">
      <c r="A41" s="242"/>
      <c r="D41" s="240"/>
      <c r="E41" s="238"/>
      <c r="F41" s="240"/>
      <c r="G41" s="240"/>
    </row>
    <row r="42" spans="1:10" ht="15.75" thickBot="1">
      <c r="A42" s="242" t="s">
        <v>264</v>
      </c>
      <c r="D42" s="240"/>
      <c r="E42" s="268">
        <f>F38+E40</f>
        <v>4.5761184179223866</v>
      </c>
      <c r="F42" s="240"/>
      <c r="G42" s="240"/>
    </row>
    <row r="43" spans="1:10">
      <c r="A43" s="281" t="s">
        <v>76</v>
      </c>
      <c r="B43" s="282">
        <v>0</v>
      </c>
      <c r="C43" s="281"/>
      <c r="D43" s="281"/>
      <c r="E43" s="283">
        <f>B43*F38</f>
        <v>0</v>
      </c>
      <c r="F43" s="281"/>
      <c r="G43" s="240"/>
    </row>
    <row r="44" spans="1:10">
      <c r="A44" s="281" t="s">
        <v>77</v>
      </c>
      <c r="B44" s="282">
        <v>0</v>
      </c>
      <c r="C44" s="281"/>
      <c r="D44" s="281"/>
      <c r="E44" s="283">
        <f>B44*F38</f>
        <v>0</v>
      </c>
      <c r="F44" s="281"/>
      <c r="G44" s="240"/>
    </row>
    <row r="45" spans="1:10">
      <c r="A45" s="281" t="s">
        <v>78</v>
      </c>
      <c r="B45" s="282">
        <v>0.02</v>
      </c>
      <c r="C45" s="281"/>
      <c r="D45" s="281"/>
      <c r="E45" s="283">
        <f>F38*B45</f>
        <v>8.6341856941931819E-2</v>
      </c>
      <c r="F45" s="281"/>
      <c r="G45" s="240"/>
    </row>
    <row r="46" spans="1:10">
      <c r="A46" s="281" t="s">
        <v>22</v>
      </c>
      <c r="B46" s="284">
        <v>0.04</v>
      </c>
      <c r="C46" s="281"/>
      <c r="D46" s="281"/>
      <c r="E46" s="285">
        <f>F38*B46</f>
        <v>0.17268371388386364</v>
      </c>
      <c r="F46" s="281"/>
      <c r="G46" s="240"/>
    </row>
    <row r="47" spans="1:10">
      <c r="A47" s="281"/>
      <c r="B47" s="281"/>
      <c r="C47" s="281"/>
      <c r="D47" s="281"/>
      <c r="E47" s="281"/>
      <c r="F47" s="281"/>
      <c r="G47" s="240"/>
    </row>
    <row r="48" spans="1:10">
      <c r="A48" s="281"/>
      <c r="B48" s="281"/>
      <c r="C48" s="281"/>
      <c r="D48" s="281"/>
      <c r="E48" s="281"/>
      <c r="F48" s="281"/>
    </row>
  </sheetData>
  <mergeCells count="7">
    <mergeCell ref="A15:B15"/>
    <mergeCell ref="A16:D16"/>
    <mergeCell ref="A1:J2"/>
    <mergeCell ref="C4:J4"/>
    <mergeCell ref="B6:G6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M32" sqref="M32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248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76.64</v>
      </c>
      <c r="H5" s="49"/>
      <c r="I5" s="49"/>
      <c r="J5" s="49"/>
      <c r="K5" s="256">
        <f>G5*21</f>
        <v>1609.44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33</v>
      </c>
      <c r="H10" s="21"/>
      <c r="I10" s="21"/>
      <c r="J10" s="21"/>
    </row>
    <row r="11" spans="1:11">
      <c r="A11" s="21" t="s">
        <v>169</v>
      </c>
      <c r="B11" s="21"/>
      <c r="C11" s="334" t="s">
        <v>249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2.0034097728399334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321.88800000000003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0.29941967392384927</v>
      </c>
      <c r="F32" s="218" t="s">
        <v>205</v>
      </c>
      <c r="G32" s="57"/>
      <c r="H32" s="57"/>
      <c r="I32" s="57"/>
      <c r="J32" s="223">
        <f>J31/(K5)</f>
        <v>0.47087682672233816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6" t="s">
        <v>236</v>
      </c>
      <c r="B37" s="337"/>
      <c r="C37" s="337"/>
      <c r="D37" s="246"/>
      <c r="E37" s="247">
        <f>E32+E28+E21+E18</f>
        <v>1.7455624424423677</v>
      </c>
      <c r="F37" s="245" t="s">
        <v>208</v>
      </c>
      <c r="G37" s="246"/>
      <c r="H37" s="246"/>
      <c r="I37" s="225"/>
      <c r="J37" s="236">
        <f>J32+J22</f>
        <v>2.4742865995622716</v>
      </c>
    </row>
    <row r="38" spans="1:10">
      <c r="A38" s="248"/>
      <c r="B38" s="240"/>
      <c r="C38" s="240"/>
      <c r="D38" s="240"/>
      <c r="E38" s="249"/>
      <c r="F38" s="239">
        <f>E37+J37+(E37+J37)*E39</f>
        <v>5.0638188504055677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0.30382913102433406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264</v>
      </c>
      <c r="B42" s="240"/>
      <c r="C42" s="240"/>
      <c r="D42" s="240"/>
      <c r="E42" s="266">
        <f>F38+E40</f>
        <v>5.3676479814299016</v>
      </c>
      <c r="F42" s="240"/>
      <c r="G42" s="240"/>
      <c r="H42" s="240"/>
      <c r="I42" s="21"/>
      <c r="J42" s="21"/>
    </row>
    <row r="43" spans="1:10">
      <c r="A43" s="286" t="s">
        <v>76</v>
      </c>
      <c r="B43" s="287">
        <v>0</v>
      </c>
      <c r="C43" s="286"/>
      <c r="D43" s="286"/>
      <c r="E43" s="288">
        <f>F38*B43</f>
        <v>0</v>
      </c>
      <c r="F43" s="240"/>
      <c r="G43" s="240"/>
      <c r="H43" s="240"/>
      <c r="I43" s="240"/>
      <c r="J43" s="21"/>
    </row>
    <row r="44" spans="1:10">
      <c r="A44" s="286" t="s">
        <v>77</v>
      </c>
      <c r="B44" s="287">
        <v>0</v>
      </c>
      <c r="C44" s="286"/>
      <c r="D44" s="286"/>
      <c r="E44" s="288">
        <v>0</v>
      </c>
      <c r="F44" s="240"/>
      <c r="G44" s="240"/>
      <c r="H44" s="240"/>
      <c r="I44" s="255"/>
      <c r="J44" s="21"/>
    </row>
    <row r="45" spans="1:10">
      <c r="A45" s="286" t="s">
        <v>78</v>
      </c>
      <c r="B45" s="287">
        <v>0.02</v>
      </c>
      <c r="C45" s="286"/>
      <c r="D45" s="286"/>
      <c r="E45" s="288">
        <f>F38*B45</f>
        <v>0.10127637700811136</v>
      </c>
      <c r="F45" s="240"/>
      <c r="G45" s="240"/>
      <c r="H45" s="240"/>
      <c r="I45" s="240"/>
      <c r="J45" s="21"/>
    </row>
    <row r="46" spans="1:10">
      <c r="A46" s="286" t="s">
        <v>22</v>
      </c>
      <c r="B46" s="289">
        <v>0.04</v>
      </c>
      <c r="C46" s="286"/>
      <c r="D46" s="286"/>
      <c r="E46" s="290">
        <f>F38*B46</f>
        <v>0.20255275401622272</v>
      </c>
      <c r="F46" s="240"/>
      <c r="G46" s="240"/>
      <c r="H46" s="240"/>
      <c r="I46" s="240"/>
      <c r="J46" s="21"/>
    </row>
    <row r="47" spans="1:10">
      <c r="A47" s="286"/>
      <c r="B47" s="286"/>
      <c r="C47" s="286"/>
      <c r="D47" s="286"/>
      <c r="E47" s="286"/>
      <c r="F47" s="240"/>
      <c r="G47" s="240"/>
      <c r="H47" s="240"/>
      <c r="I47" s="240"/>
      <c r="J47" s="21"/>
    </row>
    <row r="48" spans="1:10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N18" sqref="N18"/>
    </sheetView>
  </sheetViews>
  <sheetFormatPr defaultRowHeight="15"/>
  <cols>
    <col min="1" max="10" width="9.140625" style="256" customWidth="1"/>
    <col min="11" max="16384" width="9.140625" style="256"/>
  </cols>
  <sheetData>
    <row r="1" spans="1:11">
      <c r="A1" s="320" t="s">
        <v>262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1">
      <c r="A2" s="323"/>
      <c r="B2" s="324"/>
      <c r="C2" s="324"/>
      <c r="D2" s="324"/>
      <c r="E2" s="324"/>
      <c r="F2" s="324"/>
      <c r="G2" s="324"/>
      <c r="H2" s="324"/>
      <c r="I2" s="324"/>
      <c r="J2" s="325"/>
    </row>
    <row r="3" spans="1:1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1">
      <c r="A4" s="21" t="s">
        <v>160</v>
      </c>
      <c r="B4" s="21"/>
      <c r="C4" s="329" t="s">
        <v>225</v>
      </c>
      <c r="D4" s="329"/>
      <c r="E4" s="329"/>
      <c r="F4" s="329"/>
      <c r="G4" s="329"/>
      <c r="H4" s="329"/>
      <c r="I4" s="329"/>
      <c r="J4" s="329"/>
    </row>
    <row r="5" spans="1:11">
      <c r="A5" s="21" t="s">
        <v>232</v>
      </c>
      <c r="B5" s="21"/>
      <c r="C5" s="21"/>
      <c r="D5" s="21"/>
      <c r="E5" s="21"/>
      <c r="F5" s="21"/>
      <c r="G5" s="267">
        <v>66.930000000000007</v>
      </c>
      <c r="H5" s="49"/>
      <c r="I5" s="49"/>
      <c r="J5" s="49"/>
      <c r="K5" s="256">
        <f>G5*21</f>
        <v>1405.5300000000002</v>
      </c>
    </row>
    <row r="6" spans="1:11">
      <c r="A6" s="21" t="s">
        <v>162</v>
      </c>
      <c r="B6" s="335" t="s">
        <v>213</v>
      </c>
      <c r="C6" s="335"/>
      <c r="D6" s="335"/>
      <c r="E6" s="335"/>
      <c r="F6" s="335"/>
      <c r="G6" s="335"/>
      <c r="H6" s="21"/>
      <c r="I6" s="21"/>
      <c r="J6" s="21"/>
    </row>
    <row r="7" spans="1:11">
      <c r="A7" s="21" t="s">
        <v>164</v>
      </c>
      <c r="B7" s="21"/>
      <c r="C7" s="21"/>
      <c r="D7" s="21"/>
      <c r="E7" s="200"/>
      <c r="F7" s="21"/>
      <c r="G7" s="260">
        <v>244</v>
      </c>
      <c r="H7" s="21"/>
      <c r="I7" s="21"/>
      <c r="J7" s="21"/>
    </row>
    <row r="8" spans="1:11">
      <c r="A8" s="21" t="s">
        <v>165</v>
      </c>
      <c r="B8" s="21"/>
      <c r="C8" s="21"/>
      <c r="D8" s="21"/>
      <c r="E8" s="21"/>
      <c r="F8" s="200"/>
      <c r="G8" s="260">
        <v>12</v>
      </c>
      <c r="H8" s="21"/>
      <c r="I8" s="21"/>
      <c r="J8" s="21"/>
    </row>
    <row r="9" spans="1:11">
      <c r="A9" s="21" t="s">
        <v>166</v>
      </c>
      <c r="B9" s="21"/>
      <c r="C9" s="21"/>
      <c r="D9" s="21"/>
      <c r="E9" s="21"/>
      <c r="F9" s="21"/>
      <c r="G9" s="260">
        <v>21</v>
      </c>
      <c r="H9" s="21"/>
      <c r="I9" s="21"/>
      <c r="J9" s="21"/>
    </row>
    <row r="10" spans="1:11">
      <c r="A10" s="21" t="s">
        <v>167</v>
      </c>
      <c r="B10" s="21"/>
      <c r="C10" s="21"/>
      <c r="D10" s="21"/>
      <c r="E10" s="21"/>
      <c r="F10" s="21"/>
      <c r="G10" s="274">
        <v>23</v>
      </c>
      <c r="H10" s="21"/>
      <c r="I10" s="21"/>
      <c r="J10" s="21"/>
    </row>
    <row r="11" spans="1:11">
      <c r="A11" s="21" t="s">
        <v>169</v>
      </c>
      <c r="B11" s="21"/>
      <c r="C11" s="334" t="s">
        <v>247</v>
      </c>
      <c r="D11" s="334"/>
      <c r="E11" s="334"/>
      <c r="F11" s="334"/>
      <c r="G11" s="334"/>
      <c r="H11" s="21"/>
      <c r="I11" s="21"/>
      <c r="J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1">
      <c r="A13" s="326" t="s">
        <v>230</v>
      </c>
      <c r="B13" s="327"/>
      <c r="C13" s="327"/>
      <c r="D13" s="327"/>
      <c r="E13" s="328"/>
      <c r="F13" s="326" t="s">
        <v>168</v>
      </c>
      <c r="G13" s="327"/>
      <c r="H13" s="327"/>
      <c r="I13" s="327"/>
      <c r="J13" s="328"/>
    </row>
    <row r="14" spans="1:11">
      <c r="A14" s="202"/>
      <c r="B14" s="51"/>
      <c r="C14" s="51"/>
      <c r="D14" s="51"/>
      <c r="E14" s="203"/>
      <c r="F14" s="202"/>
      <c r="G14" s="51"/>
      <c r="H14" s="51"/>
      <c r="I14" s="51"/>
      <c r="J14" s="203"/>
    </row>
    <row r="15" spans="1:11">
      <c r="A15" s="332" t="s">
        <v>106</v>
      </c>
      <c r="B15" s="333"/>
      <c r="C15" s="204"/>
      <c r="D15" s="52"/>
      <c r="E15" s="53"/>
      <c r="F15" s="216" t="s">
        <v>185</v>
      </c>
      <c r="G15" s="217"/>
      <c r="H15" s="52"/>
      <c r="I15" s="52"/>
      <c r="J15" s="53"/>
    </row>
    <row r="16" spans="1:11">
      <c r="A16" s="330" t="s">
        <v>171</v>
      </c>
      <c r="B16" s="331"/>
      <c r="C16" s="331"/>
      <c r="D16" s="331"/>
      <c r="E16" s="212">
        <f>'Comb, lub, Man'!I5</f>
        <v>4.8233333333333333</v>
      </c>
      <c r="F16" s="218" t="s">
        <v>189</v>
      </c>
      <c r="G16" s="57"/>
      <c r="H16" s="57"/>
      <c r="I16" s="57"/>
      <c r="J16" s="211">
        <f>' Pessoal'!H10</f>
        <v>1799.53</v>
      </c>
    </row>
    <row r="17" spans="1:16">
      <c r="A17" s="218" t="s">
        <v>172</v>
      </c>
      <c r="B17" s="57"/>
      <c r="C17" s="57"/>
      <c r="D17" s="57"/>
      <c r="E17" s="211">
        <v>4.5</v>
      </c>
      <c r="F17" s="218" t="s">
        <v>190</v>
      </c>
      <c r="G17" s="57"/>
      <c r="H17" s="57"/>
      <c r="I17" s="57"/>
      <c r="J17" s="211">
        <f>' Pessoal'!H64</f>
        <v>349.82863199999997</v>
      </c>
    </row>
    <row r="18" spans="1:16">
      <c r="A18" s="218" t="s">
        <v>173</v>
      </c>
      <c r="B18" s="57"/>
      <c r="C18" s="57"/>
      <c r="D18" s="57"/>
      <c r="E18" s="215">
        <f>'Comb, lub, Man'!J7</f>
        <v>1.0718518518518518</v>
      </c>
      <c r="F18" s="218" t="s">
        <v>191</v>
      </c>
      <c r="G18" s="57"/>
      <c r="H18" s="57"/>
      <c r="I18" s="57"/>
      <c r="J18" s="211">
        <f>' Pessoal'!H65</f>
        <v>666.30117591999999</v>
      </c>
    </row>
    <row r="19" spans="1:16">
      <c r="A19" s="205"/>
      <c r="B19" s="55"/>
      <c r="C19" s="55"/>
      <c r="D19" s="55"/>
      <c r="E19" s="258"/>
      <c r="F19" s="259" t="s">
        <v>192</v>
      </c>
      <c r="G19" s="55"/>
      <c r="H19" s="55"/>
      <c r="I19" s="55"/>
      <c r="J19" s="211">
        <f>' Pessoal'!H66</f>
        <v>375.2456781882272</v>
      </c>
    </row>
    <row r="20" spans="1:16">
      <c r="A20" s="214" t="s">
        <v>174</v>
      </c>
      <c r="B20" s="57"/>
      <c r="C20" s="57"/>
      <c r="D20" s="57"/>
      <c r="E20" s="258"/>
      <c r="F20" s="218" t="s">
        <v>193</v>
      </c>
      <c r="G20" s="57"/>
      <c r="H20" s="57"/>
      <c r="I20" s="57"/>
      <c r="J20" s="211">
        <f>' Pessoal'!H67</f>
        <v>33.462338691275143</v>
      </c>
    </row>
    <row r="21" spans="1:16">
      <c r="A21" s="218" t="s">
        <v>175</v>
      </c>
      <c r="B21" s="57"/>
      <c r="C21" s="57"/>
      <c r="D21" s="57"/>
      <c r="E21" s="215">
        <f>'Comb, lub, Man'!E21:F21</f>
        <v>0.24116666666666667</v>
      </c>
      <c r="F21" s="218" t="s">
        <v>186</v>
      </c>
      <c r="G21" s="57"/>
      <c r="H21" s="57"/>
      <c r="I21" s="57"/>
      <c r="J21" s="219">
        <f>SUM(J16:J20)</f>
        <v>3224.3678247995022</v>
      </c>
    </row>
    <row r="22" spans="1:16">
      <c r="A22" s="54"/>
      <c r="B22" s="57"/>
      <c r="C22" s="57"/>
      <c r="D22" s="57"/>
      <c r="E22" s="258"/>
      <c r="F22" s="218" t="s">
        <v>188</v>
      </c>
      <c r="G22" s="57"/>
      <c r="H22" s="57"/>
      <c r="I22" s="57"/>
      <c r="J22" s="223">
        <f>J21/(G5*21)</f>
        <v>2.2940583443964209</v>
      </c>
    </row>
    <row r="23" spans="1:16">
      <c r="A23" s="214" t="s">
        <v>176</v>
      </c>
      <c r="B23" s="57"/>
      <c r="C23" s="57"/>
      <c r="D23" s="57"/>
      <c r="E23" s="258"/>
      <c r="F23" s="54"/>
      <c r="G23" s="57"/>
      <c r="H23" s="57"/>
      <c r="I23" s="57"/>
      <c r="J23" s="206"/>
      <c r="P23" s="253"/>
    </row>
    <row r="24" spans="1:16">
      <c r="A24" s="218" t="s">
        <v>177</v>
      </c>
      <c r="B24" s="57"/>
      <c r="C24" s="57"/>
      <c r="D24" s="57"/>
      <c r="E24" s="212">
        <f>'Admin, depre'!F22</f>
        <v>862.32333333333327</v>
      </c>
      <c r="F24" s="214" t="s">
        <v>194</v>
      </c>
      <c r="G24" s="57"/>
      <c r="H24" s="57"/>
      <c r="I24" s="57"/>
      <c r="J24" s="206"/>
    </row>
    <row r="25" spans="1:16">
      <c r="A25" s="218" t="s">
        <v>178</v>
      </c>
      <c r="B25" s="57"/>
      <c r="C25" s="57"/>
      <c r="D25" s="57"/>
      <c r="E25" s="258">
        <v>6</v>
      </c>
      <c r="F25" s="218" t="s">
        <v>200</v>
      </c>
      <c r="G25" s="57"/>
      <c r="H25" s="57"/>
      <c r="I25" s="57"/>
      <c r="J25" s="219">
        <f>'Admin, depre'!F7</f>
        <v>580.6</v>
      </c>
    </row>
    <row r="26" spans="1:16">
      <c r="A26" s="218" t="s">
        <v>180</v>
      </c>
      <c r="B26" s="57"/>
      <c r="C26" s="57"/>
      <c r="D26" s="57"/>
      <c r="E26" s="212">
        <f>'Admin, depre'!F23</f>
        <v>456.33333333333331</v>
      </c>
      <c r="F26" s="218" t="s">
        <v>201</v>
      </c>
      <c r="G26" s="57"/>
      <c r="H26" s="57"/>
      <c r="I26" s="57"/>
      <c r="J26" s="219">
        <f>'Admin, depre'!D6</f>
        <v>66.7</v>
      </c>
    </row>
    <row r="27" spans="1:16">
      <c r="A27" s="218" t="s">
        <v>179</v>
      </c>
      <c r="B27" s="57"/>
      <c r="C27" s="57"/>
      <c r="D27" s="57"/>
      <c r="E27" s="224">
        <f>'Admin, depre'!E21</f>
        <v>80000</v>
      </c>
      <c r="F27" s="218" t="s">
        <v>206</v>
      </c>
      <c r="G27" s="57"/>
      <c r="H27" s="57"/>
      <c r="I27" s="57"/>
      <c r="J27" s="219">
        <f>'Admin, depre'!D9</f>
        <v>127.84</v>
      </c>
    </row>
    <row r="28" spans="1:16">
      <c r="A28" s="218" t="s">
        <v>181</v>
      </c>
      <c r="B28" s="57"/>
      <c r="C28" s="57"/>
      <c r="D28" s="57"/>
      <c r="E28" s="215">
        <f>'Admin, depre'!F27</f>
        <v>0.13312424999999997</v>
      </c>
      <c r="F28" s="218" t="s">
        <v>207</v>
      </c>
      <c r="G28" s="57"/>
      <c r="H28" s="57"/>
      <c r="I28" s="57"/>
      <c r="J28" s="219">
        <f>'Admin, depre'!D10</f>
        <v>207.34</v>
      </c>
    </row>
    <row r="29" spans="1:16">
      <c r="A29" s="54"/>
      <c r="B29" s="57"/>
      <c r="C29" s="57"/>
      <c r="D29" s="57"/>
      <c r="E29" s="206"/>
      <c r="F29" s="218" t="s">
        <v>203</v>
      </c>
      <c r="G29" s="57"/>
      <c r="H29" s="57"/>
      <c r="I29" s="57"/>
      <c r="J29" s="219">
        <f>'Admin, depre'!F11</f>
        <v>2300</v>
      </c>
    </row>
    <row r="30" spans="1:16">
      <c r="A30" s="214" t="s">
        <v>182</v>
      </c>
      <c r="B30" s="57"/>
      <c r="C30" s="57"/>
      <c r="D30" s="57"/>
      <c r="E30" s="206"/>
      <c r="F30" s="218" t="s">
        <v>202</v>
      </c>
      <c r="G30" s="57"/>
      <c r="H30" s="57"/>
      <c r="I30" s="57"/>
      <c r="J30" s="219">
        <f>'Admin, depre'!D12*12</f>
        <v>4296</v>
      </c>
    </row>
    <row r="31" spans="1:16">
      <c r="A31" s="218" t="s">
        <v>184</v>
      </c>
      <c r="B31" s="57"/>
      <c r="C31" s="57"/>
      <c r="D31" s="57"/>
      <c r="E31" s="210">
        <f>0.2*K5</f>
        <v>281.10600000000005</v>
      </c>
      <c r="F31" s="218" t="s">
        <v>204</v>
      </c>
      <c r="G31" s="57"/>
      <c r="H31" s="57"/>
      <c r="I31" s="57"/>
      <c r="J31" s="219">
        <f>SUM(J25:J30)/10</f>
        <v>757.84799999999996</v>
      </c>
    </row>
    <row r="32" spans="1:16">
      <c r="A32" s="218" t="s">
        <v>183</v>
      </c>
      <c r="B32" s="57"/>
      <c r="C32" s="57"/>
      <c r="D32" s="57"/>
      <c r="E32" s="215">
        <f>(0.0083*'Admin, depre'!F5)/(K5)</f>
        <v>0.34285856580791585</v>
      </c>
      <c r="F32" s="218" t="s">
        <v>205</v>
      </c>
      <c r="G32" s="57"/>
      <c r="H32" s="57"/>
      <c r="I32" s="57"/>
      <c r="J32" s="223">
        <f>J31/(K5)</f>
        <v>0.53919019871507534</v>
      </c>
    </row>
    <row r="33" spans="1:10">
      <c r="A33" s="54"/>
      <c r="B33" s="57"/>
      <c r="C33" s="57"/>
      <c r="D33" s="57"/>
      <c r="E33" s="206"/>
      <c r="F33" s="218"/>
      <c r="G33" s="57"/>
      <c r="H33" s="57"/>
      <c r="I33" s="57"/>
      <c r="J33" s="206"/>
    </row>
    <row r="34" spans="1:10">
      <c r="A34" s="54"/>
      <c r="B34" s="57"/>
      <c r="C34" s="57"/>
      <c r="D34" s="57"/>
      <c r="E34" s="206"/>
      <c r="F34" s="54"/>
      <c r="G34" s="57"/>
      <c r="H34" s="57"/>
      <c r="I34" s="57"/>
      <c r="J34" s="206"/>
    </row>
    <row r="35" spans="1:10">
      <c r="A35" s="54"/>
      <c r="B35" s="57"/>
      <c r="C35" s="57"/>
      <c r="D35" s="57"/>
      <c r="E35" s="206"/>
      <c r="F35" s="54"/>
      <c r="G35" s="57"/>
      <c r="H35" s="57"/>
      <c r="I35" s="57"/>
      <c r="J35" s="206"/>
    </row>
    <row r="36" spans="1:10">
      <c r="A36" s="54"/>
      <c r="B36" s="57"/>
      <c r="C36" s="57"/>
      <c r="D36" s="57"/>
      <c r="E36" s="206"/>
      <c r="F36" s="54"/>
      <c r="G36" s="57"/>
      <c r="H36" s="57"/>
      <c r="I36" s="57"/>
      <c r="J36" s="206"/>
    </row>
    <row r="37" spans="1:10">
      <c r="A37" s="336" t="s">
        <v>236</v>
      </c>
      <c r="B37" s="337"/>
      <c r="C37" s="337"/>
      <c r="D37" s="246"/>
      <c r="E37" s="247">
        <f>E32+E28+E21+E18</f>
        <v>1.7890013343264344</v>
      </c>
      <c r="F37" s="245" t="s">
        <v>208</v>
      </c>
      <c r="G37" s="246"/>
      <c r="H37" s="246"/>
      <c r="I37" s="225"/>
      <c r="J37" s="236">
        <f>J32+J22</f>
        <v>2.8332485431114964</v>
      </c>
    </row>
    <row r="38" spans="1:10">
      <c r="A38" s="248"/>
      <c r="B38" s="240"/>
      <c r="C38" s="240"/>
      <c r="D38" s="240"/>
      <c r="E38" s="249"/>
      <c r="F38" s="239">
        <f>E37+J37+(E37+J37)*E39</f>
        <v>5.5466998529255163</v>
      </c>
      <c r="G38" s="240"/>
      <c r="H38" s="240"/>
      <c r="I38" s="21"/>
      <c r="J38" s="226"/>
    </row>
    <row r="39" spans="1:10">
      <c r="A39" s="250" t="s">
        <v>209</v>
      </c>
      <c r="B39" s="240"/>
      <c r="C39" s="240"/>
      <c r="D39" s="240"/>
      <c r="E39" s="244">
        <v>0.2</v>
      </c>
      <c r="F39" s="240"/>
      <c r="G39" s="240"/>
      <c r="H39" s="240"/>
      <c r="I39" s="21"/>
      <c r="J39" s="21"/>
    </row>
    <row r="40" spans="1:10">
      <c r="A40" s="250" t="s">
        <v>210</v>
      </c>
      <c r="B40" s="240"/>
      <c r="C40" s="240"/>
      <c r="D40" s="240"/>
      <c r="E40" s="251">
        <f>SUM(E43:E46)</f>
        <v>0.332801991175531</v>
      </c>
      <c r="F40" s="240"/>
      <c r="G40" s="240"/>
      <c r="H40" s="240"/>
      <c r="I40" s="21"/>
      <c r="J40" s="21"/>
    </row>
    <row r="41" spans="1:10" ht="15.75" thickBot="1">
      <c r="A41" s="250"/>
      <c r="B41" s="240"/>
      <c r="C41" s="240"/>
      <c r="D41" s="240"/>
      <c r="E41" s="251"/>
      <c r="F41" s="240"/>
      <c r="G41" s="240"/>
      <c r="H41" s="240"/>
      <c r="I41" s="21"/>
      <c r="J41" s="21"/>
    </row>
    <row r="42" spans="1:10" ht="15.75" thickBot="1">
      <c r="A42" s="250" t="s">
        <v>211</v>
      </c>
      <c r="B42" s="240"/>
      <c r="C42" s="240"/>
      <c r="D42" s="240"/>
      <c r="E42" s="266">
        <f>F38+E40</f>
        <v>5.8795018441010471</v>
      </c>
      <c r="F42" s="240"/>
      <c r="G42" s="240"/>
      <c r="H42" s="240"/>
      <c r="I42" s="21"/>
      <c r="J42" s="21"/>
    </row>
    <row r="43" spans="1:10">
      <c r="A43" s="286" t="s">
        <v>76</v>
      </c>
      <c r="B43" s="287">
        <v>0</v>
      </c>
      <c r="C43" s="286"/>
      <c r="D43" s="286"/>
      <c r="E43" s="288">
        <f>F38*B43</f>
        <v>0</v>
      </c>
      <c r="F43" s="286"/>
      <c r="G43" s="240"/>
      <c r="H43" s="240"/>
      <c r="I43" s="240"/>
      <c r="J43" s="21"/>
    </row>
    <row r="44" spans="1:10">
      <c r="A44" s="286" t="s">
        <v>77</v>
      </c>
      <c r="B44" s="287">
        <v>0</v>
      </c>
      <c r="C44" s="286"/>
      <c r="D44" s="286"/>
      <c r="E44" s="288">
        <v>0</v>
      </c>
      <c r="F44" s="286"/>
      <c r="G44" s="240"/>
      <c r="H44" s="240"/>
      <c r="I44" s="255"/>
      <c r="J44" s="21"/>
    </row>
    <row r="45" spans="1:10">
      <c r="A45" s="286" t="s">
        <v>78</v>
      </c>
      <c r="B45" s="287">
        <v>0.02</v>
      </c>
      <c r="C45" s="286"/>
      <c r="D45" s="286"/>
      <c r="E45" s="288">
        <f>F38*B45</f>
        <v>0.11093399705851033</v>
      </c>
      <c r="F45" s="286"/>
      <c r="G45" s="240"/>
      <c r="H45" s="240"/>
      <c r="I45" s="240"/>
      <c r="J45" s="21"/>
    </row>
    <row r="46" spans="1:10">
      <c r="A46" s="286" t="s">
        <v>22</v>
      </c>
      <c r="B46" s="289">
        <v>0.04</v>
      </c>
      <c r="C46" s="286"/>
      <c r="D46" s="286"/>
      <c r="E46" s="290">
        <f>F38*B46</f>
        <v>0.22186799411702066</v>
      </c>
      <c r="F46" s="286"/>
      <c r="G46" s="240"/>
      <c r="H46" s="240"/>
      <c r="I46" s="240"/>
      <c r="J46" s="21"/>
    </row>
    <row r="47" spans="1:10">
      <c r="A47" s="240"/>
      <c r="B47" s="240"/>
      <c r="C47" s="240"/>
      <c r="D47" s="240"/>
      <c r="E47" s="240"/>
      <c r="F47" s="240"/>
      <c r="G47" s="240"/>
      <c r="H47" s="240"/>
      <c r="I47" s="240"/>
      <c r="J47" s="21"/>
    </row>
    <row r="48" spans="1:10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</row>
  </sheetData>
  <mergeCells count="9">
    <mergeCell ref="A37:C37"/>
    <mergeCell ref="A15:B15"/>
    <mergeCell ref="A16:D16"/>
    <mergeCell ref="A1:J2"/>
    <mergeCell ref="C4:J4"/>
    <mergeCell ref="B6:G6"/>
    <mergeCell ref="C11:G11"/>
    <mergeCell ref="A13:E13"/>
    <mergeCell ref="F13:J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20</vt:i4>
      </vt:variant>
    </vt:vector>
  </HeadingPairs>
  <TitlesOfParts>
    <vt:vector size="41" baseType="lpstr">
      <vt:lpstr>L1 </vt:lpstr>
      <vt:lpstr>L2 </vt:lpstr>
      <vt:lpstr>L3 </vt:lpstr>
      <vt:lpstr>L4 </vt:lpstr>
      <vt:lpstr>L5 </vt:lpstr>
      <vt:lpstr>L6</vt:lpstr>
      <vt:lpstr>L7 </vt:lpstr>
      <vt:lpstr>L8 </vt:lpstr>
      <vt:lpstr>L9 </vt:lpstr>
      <vt:lpstr>L 10</vt:lpstr>
      <vt:lpstr>L11 </vt:lpstr>
      <vt:lpstr>L12 </vt:lpstr>
      <vt:lpstr>L13 </vt:lpstr>
      <vt:lpstr>L14 </vt:lpstr>
      <vt:lpstr>L15 </vt:lpstr>
      <vt:lpstr>L16 </vt:lpstr>
      <vt:lpstr>L17 </vt:lpstr>
      <vt:lpstr> Pessoal</vt:lpstr>
      <vt:lpstr>Comb, lub, Man</vt:lpstr>
      <vt:lpstr>Admin, depre</vt:lpstr>
      <vt:lpstr>TOTAL</vt:lpstr>
      <vt:lpstr>' Pessoal'!Area_de_impressao</vt:lpstr>
      <vt:lpstr>'Admin, depre'!Area_de_impressao</vt:lpstr>
      <vt:lpstr>'Comb, lub, Man'!Area_de_impressao</vt:lpstr>
      <vt:lpstr>'L 10'!Area_de_impressao</vt:lpstr>
      <vt:lpstr>'L1 '!Area_de_impressao</vt:lpstr>
      <vt:lpstr>'L11 '!Area_de_impressao</vt:lpstr>
      <vt:lpstr>'L12 '!Area_de_impressao</vt:lpstr>
      <vt:lpstr>'L13 '!Area_de_impressao</vt:lpstr>
      <vt:lpstr>'L14 '!Area_de_impressao</vt:lpstr>
      <vt:lpstr>'L15 '!Area_de_impressao</vt:lpstr>
      <vt:lpstr>'L16 '!Area_de_impressao</vt:lpstr>
      <vt:lpstr>'L17 '!Area_de_impressao</vt:lpstr>
      <vt:lpstr>'L2 '!Area_de_impressao</vt:lpstr>
      <vt:lpstr>'L3 '!Area_de_impressao</vt:lpstr>
      <vt:lpstr>'L4 '!Area_de_impressao</vt:lpstr>
      <vt:lpstr>'L5 '!Area_de_impressao</vt:lpstr>
      <vt:lpstr>'L6'!Area_de_impressao</vt:lpstr>
      <vt:lpstr>'L7 '!Area_de_impressao</vt:lpstr>
      <vt:lpstr>'L8 '!Area_de_impressao</vt:lpstr>
      <vt:lpstr>'L9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</dc:creator>
  <cp:lastModifiedBy>Jonathann Luiz Essi</cp:lastModifiedBy>
  <cp:lastPrinted>2021-10-04T17:45:20Z</cp:lastPrinted>
  <dcterms:created xsi:type="dcterms:W3CDTF">2015-10-03T20:47:44Z</dcterms:created>
  <dcterms:modified xsi:type="dcterms:W3CDTF">2021-10-05T17:54:14Z</dcterms:modified>
</cp:coreProperties>
</file>